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3065" yWindow="855" windowWidth="15195" windowHeight="7575" tabRatio="660"/>
  </bookViews>
  <sheets>
    <sheet name="Sales Ledger" sheetId="13" r:id="rId1"/>
    <sheet name="Production" sheetId="15" r:id="rId2"/>
    <sheet name="Hedging Example" sheetId="21" r:id="rId3"/>
    <sheet name="Rev Calc" sheetId="20" r:id="rId4"/>
    <sheet name="Hail Ins" sheetId="18" r:id="rId5"/>
    <sheet name="WHEAT Budget" sheetId="19" r:id="rId6"/>
    <sheet name="CORN Budget" sheetId="7" r:id="rId7"/>
    <sheet name="Ledger (print)" sheetId="22" r:id="rId8"/>
  </sheets>
  <externalReferences>
    <externalReference r:id="rId9"/>
  </externalReferences>
  <definedNames>
    <definedName name="FuelperGallon">#REF!</definedName>
    <definedName name="Labor_Rate">#REF!</definedName>
  </definedNames>
  <calcPr calcId="125725"/>
</workbook>
</file>

<file path=xl/calcChain.xml><?xml version="1.0" encoding="utf-8"?>
<calcChain xmlns="http://schemas.openxmlformats.org/spreadsheetml/2006/main">
  <c r="N17" i="13"/>
  <c r="F98" i="21" l="1"/>
  <c r="F93"/>
  <c r="E93"/>
  <c r="F92"/>
  <c r="F91"/>
  <c r="G91" s="1"/>
  <c r="E91"/>
  <c r="D91"/>
  <c r="H91" s="1"/>
  <c r="F90"/>
  <c r="F99" s="1"/>
  <c r="D88"/>
  <c r="D93" s="1"/>
  <c r="E87"/>
  <c r="E92" s="1"/>
  <c r="D87"/>
  <c r="H87" s="1"/>
  <c r="H86"/>
  <c r="F85"/>
  <c r="D78"/>
  <c r="F76"/>
  <c r="F71"/>
  <c r="E71"/>
  <c r="D71"/>
  <c r="F70"/>
  <c r="D70"/>
  <c r="H73" s="1"/>
  <c r="F69"/>
  <c r="G70" s="1"/>
  <c r="H67"/>
  <c r="H66"/>
  <c r="F65"/>
  <c r="F78" s="1"/>
  <c r="H78" s="1"/>
  <c r="F62"/>
  <c r="F64" s="1"/>
  <c r="D56"/>
  <c r="F54"/>
  <c r="F49"/>
  <c r="E49"/>
  <c r="D49"/>
  <c r="H51" s="1"/>
  <c r="F48"/>
  <c r="F55" s="1"/>
  <c r="H46"/>
  <c r="F45"/>
  <c r="F56" s="1"/>
  <c r="F42"/>
  <c r="F44" s="1"/>
  <c r="F35"/>
  <c r="F36" s="1"/>
  <c r="H32"/>
  <c r="F30"/>
  <c r="G30" s="1"/>
  <c r="E30"/>
  <c r="D30"/>
  <c r="F29"/>
  <c r="H27"/>
  <c r="F26"/>
  <c r="F20"/>
  <c r="F19"/>
  <c r="H16"/>
  <c r="F14"/>
  <c r="E14"/>
  <c r="D14"/>
  <c r="F12"/>
  <c r="C9"/>
  <c r="C7"/>
  <c r="C5"/>
  <c r="D20" s="1"/>
  <c r="H4"/>
  <c r="H3"/>
  <c r="H20" l="1"/>
  <c r="F15"/>
  <c r="H15" s="1"/>
  <c r="H17" s="1"/>
  <c r="D36"/>
  <c r="D92"/>
  <c r="H92" s="1"/>
  <c r="G92"/>
  <c r="H36"/>
  <c r="D55"/>
  <c r="H55" s="1"/>
  <c r="H93"/>
  <c r="G93"/>
  <c r="G31"/>
  <c r="H30"/>
  <c r="H31" s="1"/>
  <c r="H33" s="1"/>
  <c r="H37" s="1"/>
  <c r="H38" s="1"/>
  <c r="J3" s="1"/>
  <c r="J4" s="1"/>
  <c r="H70"/>
  <c r="H65"/>
  <c r="H88"/>
  <c r="H94" s="1"/>
  <c r="H96" s="1"/>
  <c r="H56"/>
  <c r="D77"/>
  <c r="H95"/>
  <c r="H45"/>
  <c r="G71"/>
  <c r="G72" s="1"/>
  <c r="F77"/>
  <c r="D99"/>
  <c r="H99" s="1"/>
  <c r="G49"/>
  <c r="H21" l="1"/>
  <c r="H22" s="1"/>
  <c r="I3" s="1"/>
  <c r="I4" s="1"/>
  <c r="H71"/>
  <c r="H72" s="1"/>
  <c r="H74" s="1"/>
  <c r="H77"/>
  <c r="G50"/>
  <c r="H49"/>
  <c r="H50" s="1"/>
  <c r="H52" s="1"/>
  <c r="H57" s="1"/>
  <c r="H58" s="1"/>
  <c r="K3" s="1"/>
  <c r="K4" s="1"/>
  <c r="H100"/>
  <c r="H101" s="1"/>
  <c r="M3" s="1"/>
  <c r="M4" s="1"/>
  <c r="H79" l="1"/>
  <c r="H80" s="1"/>
  <c r="L3" s="1"/>
  <c r="L4" s="1"/>
  <c r="C15" i="19" l="1"/>
  <c r="F12" i="7" l="1"/>
  <c r="N34" i="13"/>
  <c r="R34" s="1"/>
  <c r="H29" i="7"/>
  <c r="H30"/>
  <c r="H28"/>
  <c r="H27"/>
  <c r="H31" s="1"/>
  <c r="H26"/>
  <c r="D19"/>
  <c r="H25"/>
  <c r="D18"/>
  <c r="H18" s="1"/>
  <c r="H14"/>
  <c r="H13"/>
  <c r="K36" i="15"/>
  <c r="L36"/>
  <c r="M36"/>
  <c r="J36"/>
  <c r="K35"/>
  <c r="L35"/>
  <c r="M35"/>
  <c r="J35"/>
  <c r="I68" i="20" l="1"/>
  <c r="H68"/>
  <c r="G68"/>
  <c r="E68"/>
  <c r="C68"/>
  <c r="H64"/>
  <c r="I59"/>
  <c r="H59"/>
  <c r="G59"/>
  <c r="E59"/>
  <c r="C59"/>
  <c r="I58"/>
  <c r="H58"/>
  <c r="G58"/>
  <c r="E58"/>
  <c r="C58"/>
  <c r="I57"/>
  <c r="I62" s="1"/>
  <c r="I63" s="1"/>
  <c r="H57"/>
  <c r="H62" s="1"/>
  <c r="H63" s="1"/>
  <c r="E57"/>
  <c r="E62" s="1"/>
  <c r="C57"/>
  <c r="C62" s="1"/>
  <c r="C63" s="1"/>
  <c r="I53"/>
  <c r="H53"/>
  <c r="G53"/>
  <c r="E53"/>
  <c r="C53"/>
  <c r="I48"/>
  <c r="E48"/>
  <c r="C48"/>
  <c r="I47"/>
  <c r="G47"/>
  <c r="C47"/>
  <c r="I46"/>
  <c r="G44"/>
  <c r="G57" s="1"/>
  <c r="G43"/>
  <c r="G46" s="1"/>
  <c r="E43"/>
  <c r="E46" s="1"/>
  <c r="E47" s="1"/>
  <c r="C43"/>
  <c r="C46" s="1"/>
  <c r="R30"/>
  <c r="N30"/>
  <c r="L30"/>
  <c r="I30"/>
  <c r="H30"/>
  <c r="G30"/>
  <c r="E30"/>
  <c r="C30"/>
  <c r="P29"/>
  <c r="P30" s="1"/>
  <c r="H26"/>
  <c r="P21"/>
  <c r="N21"/>
  <c r="I21"/>
  <c r="H21"/>
  <c r="G21"/>
  <c r="E21"/>
  <c r="C21"/>
  <c r="P20"/>
  <c r="N20"/>
  <c r="L20"/>
  <c r="I20"/>
  <c r="H20"/>
  <c r="G20"/>
  <c r="E20"/>
  <c r="C20"/>
  <c r="R19"/>
  <c r="N19"/>
  <c r="N22" s="1"/>
  <c r="L19"/>
  <c r="I19"/>
  <c r="I24" s="1"/>
  <c r="H19"/>
  <c r="H24" s="1"/>
  <c r="H25" s="1"/>
  <c r="G19"/>
  <c r="G24" s="1"/>
  <c r="G25" s="1"/>
  <c r="E19"/>
  <c r="E24" s="1"/>
  <c r="C19"/>
  <c r="C22" s="1"/>
  <c r="C23" s="1"/>
  <c r="R17"/>
  <c r="R21" s="1"/>
  <c r="L17"/>
  <c r="L21" s="1"/>
  <c r="R16"/>
  <c r="R20" s="1"/>
  <c r="N15"/>
  <c r="L15"/>
  <c r="I15"/>
  <c r="H15"/>
  <c r="G15"/>
  <c r="E15"/>
  <c r="C15"/>
  <c r="R11"/>
  <c r="N11"/>
  <c r="L11"/>
  <c r="I11"/>
  <c r="G11"/>
  <c r="E11"/>
  <c r="C11"/>
  <c r="N10"/>
  <c r="L10"/>
  <c r="I10"/>
  <c r="G10"/>
  <c r="G12" s="1"/>
  <c r="G26" s="1"/>
  <c r="E10"/>
  <c r="C10"/>
  <c r="I9"/>
  <c r="G9"/>
  <c r="E9"/>
  <c r="C9"/>
  <c r="P7"/>
  <c r="P19" s="1"/>
  <c r="R6"/>
  <c r="P6"/>
  <c r="P9" s="1"/>
  <c r="N6"/>
  <c r="N9" s="1"/>
  <c r="L6"/>
  <c r="L9" s="1"/>
  <c r="R5"/>
  <c r="R15" s="1"/>
  <c r="P5"/>
  <c r="P15" s="1"/>
  <c r="G62" l="1"/>
  <c r="G63" s="1"/>
  <c r="G60"/>
  <c r="G61" s="1"/>
  <c r="C12"/>
  <c r="C26" s="1"/>
  <c r="P11"/>
  <c r="P12" s="1"/>
  <c r="P26" s="1"/>
  <c r="L22"/>
  <c r="L23" s="1"/>
  <c r="R24"/>
  <c r="C24"/>
  <c r="C25" s="1"/>
  <c r="C49"/>
  <c r="C64" s="1"/>
  <c r="G48"/>
  <c r="G49" s="1"/>
  <c r="G64" s="1"/>
  <c r="C60"/>
  <c r="C61" s="1"/>
  <c r="C65" s="1"/>
  <c r="C70" s="1"/>
  <c r="H60"/>
  <c r="H61" s="1"/>
  <c r="H65" s="1"/>
  <c r="H70" s="1"/>
  <c r="P10"/>
  <c r="L24"/>
  <c r="L25" s="1"/>
  <c r="I49"/>
  <c r="I64" s="1"/>
  <c r="I60"/>
  <c r="I61" s="1"/>
  <c r="R22"/>
  <c r="R23" s="1"/>
  <c r="I25"/>
  <c r="E63"/>
  <c r="E49"/>
  <c r="E64" s="1"/>
  <c r="N23"/>
  <c r="N24"/>
  <c r="N25" s="1"/>
  <c r="N12"/>
  <c r="N26" s="1"/>
  <c r="E12"/>
  <c r="E26" s="1"/>
  <c r="E25"/>
  <c r="E22"/>
  <c r="E23" s="1"/>
  <c r="R9"/>
  <c r="R12" s="1"/>
  <c r="R26" s="1"/>
  <c r="I12"/>
  <c r="I26" s="1"/>
  <c r="R10"/>
  <c r="G65"/>
  <c r="G70" s="1"/>
  <c r="P22"/>
  <c r="P23" s="1"/>
  <c r="P24"/>
  <c r="P25" s="1"/>
  <c r="R25"/>
  <c r="I65"/>
  <c r="I70" s="1"/>
  <c r="L12"/>
  <c r="L26" s="1"/>
  <c r="L27" s="1"/>
  <c r="L32" s="1"/>
  <c r="C27"/>
  <c r="C32" s="1"/>
  <c r="G22"/>
  <c r="G23" s="1"/>
  <c r="G27" s="1"/>
  <c r="G32" s="1"/>
  <c r="H22"/>
  <c r="H23" s="1"/>
  <c r="H27" s="1"/>
  <c r="H32" s="1"/>
  <c r="I22"/>
  <c r="I23" s="1"/>
  <c r="E60"/>
  <c r="E61" s="1"/>
  <c r="N27" l="1"/>
  <c r="N32" s="1"/>
  <c r="E65"/>
  <c r="E70" s="1"/>
  <c r="E27"/>
  <c r="E32" s="1"/>
  <c r="R27"/>
  <c r="R32" s="1"/>
  <c r="I27"/>
  <c r="I32" s="1"/>
  <c r="P27"/>
  <c r="P32" s="1"/>
  <c r="E4" i="15" l="1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"/>
  <c r="D23" i="19" l="1"/>
  <c r="C23"/>
  <c r="D17"/>
  <c r="C17"/>
  <c r="K3" i="13" s="1"/>
  <c r="I14" i="19"/>
  <c r="I12"/>
  <c r="I4"/>
  <c r="D4"/>
  <c r="D6" s="1"/>
  <c r="C4"/>
  <c r="C6" s="1"/>
  <c r="D25" l="1"/>
  <c r="D28" s="1"/>
  <c r="C25"/>
  <c r="K4" i="13" s="1"/>
  <c r="C31" i="19"/>
  <c r="D31"/>
  <c r="C27" l="1"/>
  <c r="E27" s="1"/>
  <c r="D27"/>
  <c r="C28"/>
  <c r="D18" i="13" l="1"/>
  <c r="D19"/>
  <c r="D20"/>
  <c r="D17"/>
  <c r="C18"/>
  <c r="C19"/>
  <c r="C20"/>
  <c r="C17"/>
  <c r="N19"/>
  <c r="R19" s="1"/>
  <c r="N20"/>
  <c r="R20" s="1"/>
  <c r="N21"/>
  <c r="R21" s="1"/>
  <c r="N22"/>
  <c r="R22" s="1"/>
  <c r="N23"/>
  <c r="R23" s="1"/>
  <c r="N24"/>
  <c r="R24" s="1"/>
  <c r="R17"/>
  <c r="N30"/>
  <c r="R30" s="1"/>
  <c r="N28"/>
  <c r="R28" s="1"/>
  <c r="N29"/>
  <c r="R29" s="1"/>
  <c r="N31"/>
  <c r="R31" s="1"/>
  <c r="N35"/>
  <c r="R35" s="1"/>
  <c r="N33"/>
  <c r="R33" s="1"/>
  <c r="N32"/>
  <c r="R32" s="1"/>
  <c r="N18"/>
  <c r="R18" s="1"/>
  <c r="R36" l="1"/>
  <c r="E25" s="1"/>
  <c r="R25"/>
  <c r="E24" s="1"/>
  <c r="E20"/>
  <c r="E18"/>
  <c r="E19"/>
  <c r="E17"/>
  <c r="F29" i="18"/>
  <c r="H29" s="1"/>
  <c r="F28"/>
  <c r="H28" s="1"/>
  <c r="F27"/>
  <c r="H27" s="1"/>
  <c r="F26"/>
  <c r="H26" s="1"/>
  <c r="F25"/>
  <c r="H25" s="1"/>
  <c r="F24"/>
  <c r="H24" s="1"/>
  <c r="F23"/>
  <c r="H23" s="1"/>
  <c r="F22"/>
  <c r="H22" s="1"/>
  <c r="F21"/>
  <c r="H21" s="1"/>
  <c r="F20"/>
  <c r="H20" s="1"/>
  <c r="N15"/>
  <c r="P15" s="1"/>
  <c r="F15"/>
  <c r="H15" s="1"/>
  <c r="N14"/>
  <c r="P14" s="1"/>
  <c r="F14"/>
  <c r="H14" s="1"/>
  <c r="N13"/>
  <c r="P13" s="1"/>
  <c r="F13"/>
  <c r="H13" s="1"/>
  <c r="N12"/>
  <c r="P12" s="1"/>
  <c r="F12"/>
  <c r="H12" s="1"/>
  <c r="N11"/>
  <c r="P11" s="1"/>
  <c r="F11"/>
  <c r="H11" s="1"/>
  <c r="N10"/>
  <c r="P10" s="1"/>
  <c r="F10"/>
  <c r="H10" s="1"/>
  <c r="N9"/>
  <c r="P9" s="1"/>
  <c r="F9"/>
  <c r="H9" s="1"/>
  <c r="N8"/>
  <c r="P8" s="1"/>
  <c r="F8"/>
  <c r="H8" s="1"/>
  <c r="N7"/>
  <c r="P7" s="1"/>
  <c r="F7"/>
  <c r="H7" s="1"/>
  <c r="P6"/>
  <c r="F6"/>
  <c r="H6" s="1"/>
  <c r="E36" i="15"/>
  <c r="D36"/>
  <c r="E35"/>
  <c r="D35"/>
  <c r="C5" i="13"/>
  <c r="C21" l="1"/>
  <c r="C22" s="1"/>
  <c r="E26"/>
  <c r="E21" l="1"/>
  <c r="E22" s="1"/>
  <c r="E30" s="1"/>
  <c r="E31" s="1"/>
  <c r="H9" i="7" l="1"/>
  <c r="H10"/>
  <c r="H11"/>
  <c r="H12"/>
  <c r="H4"/>
  <c r="H19"/>
  <c r="H15" l="1"/>
  <c r="D17"/>
  <c r="H17" s="1"/>
  <c r="H20" s="1"/>
  <c r="H3"/>
  <c r="H5" s="1"/>
  <c r="H22" l="1"/>
  <c r="H33" l="1"/>
  <c r="M3" i="13"/>
  <c r="F36" i="7" l="1"/>
  <c r="H35"/>
  <c r="M4" i="13" l="1"/>
  <c r="E33"/>
  <c r="E34" l="1"/>
  <c r="E36"/>
</calcChain>
</file>

<file path=xl/sharedStrings.xml><?xml version="1.0" encoding="utf-8"?>
<sst xmlns="http://schemas.openxmlformats.org/spreadsheetml/2006/main" count="641" uniqueCount="203">
  <si>
    <t>Quantity</t>
  </si>
  <si>
    <t>Income</t>
  </si>
  <si>
    <t>Seed</t>
  </si>
  <si>
    <t>Fertilizer</t>
  </si>
  <si>
    <t>acres</t>
  </si>
  <si>
    <t>Total</t>
  </si>
  <si>
    <t>premium</t>
  </si>
  <si>
    <t>Production</t>
  </si>
  <si>
    <t>Cotton</t>
  </si>
  <si>
    <t>bu</t>
  </si>
  <si>
    <t>Landlord's</t>
  </si>
  <si>
    <t>TOTAL INCOME</t>
  </si>
  <si>
    <t>Units</t>
  </si>
  <si>
    <t>$/Unit</t>
  </si>
  <si>
    <t>Share (%)</t>
  </si>
  <si>
    <t>Primary Commodity Sales</t>
  </si>
  <si>
    <t>Other Income</t>
  </si>
  <si>
    <t>Acre</t>
  </si>
  <si>
    <t>Total Revenue</t>
  </si>
  <si>
    <t>VARIABLE COSTS</t>
  </si>
  <si>
    <t>Production Costs</t>
  </si>
  <si>
    <t>Chemicals</t>
  </si>
  <si>
    <t>Miscellaneous</t>
  </si>
  <si>
    <t>Interest on Credit Line</t>
  </si>
  <si>
    <t>Harvest Costs</t>
  </si>
  <si>
    <t>Total Variable Costs</t>
  </si>
  <si>
    <t>FIXED COSTS</t>
  </si>
  <si>
    <t>Depreciation</t>
  </si>
  <si>
    <t>Insurance</t>
  </si>
  <si>
    <t>Taxes</t>
  </si>
  <si>
    <t>Owner Labor &amp; Management</t>
  </si>
  <si>
    <t>Other Fixed Costs</t>
  </si>
  <si>
    <t>Total Fixed Costs</t>
  </si>
  <si>
    <t>Total Costs</t>
  </si>
  <si>
    <t>Planned Returns to Management, Risk, and Profit:</t>
  </si>
  <si>
    <t xml:space="preserve">    Breakeven Price to Cover Total Costs</t>
  </si>
  <si>
    <t>Corn</t>
  </si>
  <si>
    <t>Acres</t>
  </si>
  <si>
    <t>Crop Insurance</t>
  </si>
  <si>
    <t>Date</t>
  </si>
  <si>
    <t>bushels</t>
  </si>
  <si>
    <t>price</t>
  </si>
  <si>
    <t>Puts</t>
  </si>
  <si>
    <t>Buy puts</t>
  </si>
  <si>
    <t>Sell puts</t>
  </si>
  <si>
    <t>Strike Price</t>
  </si>
  <si>
    <t>Calls</t>
  </si>
  <si>
    <t xml:space="preserve">Buy calls </t>
  </si>
  <si>
    <t>Sell calls</t>
  </si>
  <si>
    <t>Basis</t>
  </si>
  <si>
    <t>Total $</t>
  </si>
  <si>
    <t>+/-</t>
  </si>
  <si>
    <t>Buy</t>
  </si>
  <si>
    <t>Sell</t>
  </si>
  <si>
    <t>FC sales</t>
  </si>
  <si>
    <t>Harvest</t>
  </si>
  <si>
    <t>Puts P/L</t>
  </si>
  <si>
    <t>Calls P/L</t>
  </si>
  <si>
    <t>proceeds</t>
  </si>
  <si>
    <t>Average Price per bushel</t>
  </si>
  <si>
    <t>Planted acres</t>
  </si>
  <si>
    <t>Harvested acres</t>
  </si>
  <si>
    <t>Overall avg</t>
  </si>
  <si>
    <t>10-year avg</t>
  </si>
  <si>
    <t>How a Hail policy works</t>
  </si>
  <si>
    <t>Indemnity equals dollar guarantee times number of acres times the percentage of loss minus any deductible</t>
  </si>
  <si>
    <t xml:space="preserve">Coverage </t>
  </si>
  <si>
    <t>Net ins.</t>
  </si>
  <si>
    <t>per acre</t>
  </si>
  <si>
    <t>loss</t>
  </si>
  <si>
    <t>deductible</t>
  </si>
  <si>
    <t>indemnity</t>
  </si>
  <si>
    <t xml:space="preserve">calculated </t>
  </si>
  <si>
    <t>Wheat</t>
  </si>
  <si>
    <t>Policy</t>
  </si>
  <si>
    <t>RP</t>
  </si>
  <si>
    <t>Grain Sales</t>
  </si>
  <si>
    <t xml:space="preserve">Strike </t>
  </si>
  <si>
    <t>Strike</t>
  </si>
  <si>
    <t>Prem.</t>
  </si>
  <si>
    <t>bu.</t>
  </si>
  <si>
    <t>Yield (bu)</t>
  </si>
  <si>
    <t>Offset</t>
  </si>
  <si>
    <t>Net Profit</t>
  </si>
  <si>
    <t>Total Cash Sales</t>
  </si>
  <si>
    <t>Total Production Expense</t>
  </si>
  <si>
    <t>TC/ac</t>
  </si>
  <si>
    <t>BE VC</t>
  </si>
  <si>
    <t>BE TC</t>
  </si>
  <si>
    <t>% cov</t>
  </si>
  <si>
    <t>Net Farm Revenue</t>
  </si>
  <si>
    <t>Grain Only</t>
  </si>
  <si>
    <t>Grazing and Grain</t>
  </si>
  <si>
    <t>Wheat Price</t>
  </si>
  <si>
    <t>Grazing</t>
  </si>
  <si>
    <t>Yield</t>
  </si>
  <si>
    <t>Daily Gain</t>
  </si>
  <si>
    <t>Grazing Days</t>
  </si>
  <si>
    <t>Variable Expenses</t>
  </si>
  <si>
    <t>Hd/acre</t>
  </si>
  <si>
    <t>In wt (cwt)</t>
  </si>
  <si>
    <t>Fuel and Lube</t>
  </si>
  <si>
    <t>$/lb of gain</t>
  </si>
  <si>
    <t>Interest</t>
  </si>
  <si>
    <t>$/cwt/mo</t>
  </si>
  <si>
    <t>Fixed Costs</t>
  </si>
  <si>
    <t>Land</t>
  </si>
  <si>
    <t>Repairs</t>
  </si>
  <si>
    <t>Other*</t>
  </si>
  <si>
    <t>= income from grazing needed to equate net profit from grain only with grazing and grain</t>
  </si>
  <si>
    <t>BE</t>
  </si>
  <si>
    <t xml:space="preserve">enter this amount into cell I10.  </t>
  </si>
  <si>
    <t>* includes hired labor and living expense</t>
  </si>
  <si>
    <t>BE over variable costs</t>
  </si>
  <si>
    <t>Wheat Budget</t>
  </si>
  <si>
    <t>Revenue Protection Worksheet</t>
  </si>
  <si>
    <t>Harvest price increase is capped at 2 times the projected price</t>
  </si>
  <si>
    <t>Higher Harvest Prices</t>
  </si>
  <si>
    <t>Lower Harvest Prices; Same as Harvest Price Exclusion</t>
  </si>
  <si>
    <t>Grain Sorghum</t>
  </si>
  <si>
    <t>Coverage</t>
  </si>
  <si>
    <t>APH</t>
  </si>
  <si>
    <t>Projected price</t>
  </si>
  <si>
    <t>Actual yield</t>
  </si>
  <si>
    <t>Harvest price</t>
  </si>
  <si>
    <t>Projected guarantee</t>
  </si>
  <si>
    <t>Harvest guarantee</t>
  </si>
  <si>
    <t>Value of production</t>
  </si>
  <si>
    <t>Loss payment</t>
  </si>
  <si>
    <t>Planted Acres</t>
  </si>
  <si>
    <t>Expected production</t>
  </si>
  <si>
    <t>Cash Contract</t>
  </si>
  <si>
    <t>Contract Price</t>
  </si>
  <si>
    <t>Harvest Production</t>
  </si>
  <si>
    <t>Harvest Price</t>
  </si>
  <si>
    <t>Contract Sales</t>
  </si>
  <si>
    <t>Crop purchases</t>
  </si>
  <si>
    <t>Cost of crop purch.</t>
  </si>
  <si>
    <t>Add'l crop to sell</t>
  </si>
  <si>
    <t>Harvest sales</t>
  </si>
  <si>
    <t>Insurance Indemnity</t>
  </si>
  <si>
    <t>Total Crop Income</t>
  </si>
  <si>
    <t>Production Cost per acre</t>
  </si>
  <si>
    <t>Net Farm Income</t>
  </si>
  <si>
    <t>Revenue Protection, HPE (harvest price exclusion)</t>
  </si>
  <si>
    <t xml:space="preserve">HPE includes higher prices in value of production at harvest but does not adjust the guarantee higher </t>
  </si>
  <si>
    <t>Proj. $</t>
  </si>
  <si>
    <t>Commodity</t>
  </si>
  <si>
    <t>Year</t>
  </si>
  <si>
    <t>Production, bu</t>
  </si>
  <si>
    <t>Yield, bu</t>
  </si>
  <si>
    <t>Hauling</t>
  </si>
  <si>
    <t>Drying</t>
  </si>
  <si>
    <t>Cutting</t>
  </si>
  <si>
    <t xml:space="preserve">Break Even </t>
  </si>
  <si>
    <t>VC/ac</t>
  </si>
  <si>
    <t xml:space="preserve">Hedging Income </t>
  </si>
  <si>
    <t>Average Cost per bushel</t>
  </si>
  <si>
    <t>Total Production</t>
  </si>
  <si>
    <t>Decatur County, Iowa</t>
  </si>
  <si>
    <t>Runnels County, Texas</t>
  </si>
  <si>
    <t>CFC and</t>
  </si>
  <si>
    <t>Do Nothing</t>
  </si>
  <si>
    <t>Hedge</t>
  </si>
  <si>
    <t>Put</t>
  </si>
  <si>
    <t>buy a Call</t>
  </si>
  <si>
    <t>Bull Call Spread</t>
  </si>
  <si>
    <t>Collar</t>
  </si>
  <si>
    <t>Spring Futures Price</t>
  </si>
  <si>
    <t>Return per bushel</t>
  </si>
  <si>
    <t>Harvest Futures Price</t>
  </si>
  <si>
    <t>Total income</t>
  </si>
  <si>
    <t>est. production, bu</t>
  </si>
  <si>
    <t>Basis at harvest</t>
  </si>
  <si>
    <t>pre-harvest mkt</t>
  </si>
  <si>
    <t>pre harvest, bushels</t>
  </si>
  <si>
    <t>contract spec, bu</t>
  </si>
  <si>
    <t>contracts to hedge</t>
  </si>
  <si>
    <t>Hedging with Futures Contracts</t>
  </si>
  <si>
    <t>Spring</t>
  </si>
  <si>
    <t xml:space="preserve">Buy </t>
  </si>
  <si>
    <t>Profit(loss)</t>
  </si>
  <si>
    <t>Commission ($50/contract)</t>
  </si>
  <si>
    <t>Net profit (loss) from hedge</t>
  </si>
  <si>
    <t>Net corn sales</t>
  </si>
  <si>
    <t>Average price per bushel</t>
  </si>
  <si>
    <t>Buying Puts</t>
  </si>
  <si>
    <t xml:space="preserve">Profit(loss) </t>
  </si>
  <si>
    <t>Net profit (loss) from trade</t>
  </si>
  <si>
    <t>Cash Forward Contract and Buy a Call</t>
  </si>
  <si>
    <t>Cash forward contact offer</t>
  </si>
  <si>
    <t>Implied basis</t>
  </si>
  <si>
    <t>CFC</t>
  </si>
  <si>
    <t>Dec C calls</t>
  </si>
  <si>
    <t>Cash Forward Contract and Bull Call Spread</t>
  </si>
  <si>
    <t xml:space="preserve">Sell </t>
  </si>
  <si>
    <t>Three-way or Collar</t>
  </si>
  <si>
    <t xml:space="preserve">Total Income </t>
  </si>
  <si>
    <t>Jul KW</t>
  </si>
  <si>
    <t>Net wheat sales</t>
  </si>
  <si>
    <t xml:space="preserve">Jul KC wheat futures trading at </t>
  </si>
  <si>
    <t>Jul KW puts</t>
  </si>
  <si>
    <t>Jul KW calls</t>
  </si>
</sst>
</file>

<file path=xl/styles.xml><?xml version="1.0" encoding="utf-8"?>
<styleSheet xmlns="http://schemas.openxmlformats.org/spreadsheetml/2006/main">
  <numFmts count="10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_(&quot;$&quot;* #,##0_);_(&quot;$&quot;* \(#,##0\);_(&quot;$&quot;* &quot;-&quot;??_);_(@_)"/>
    <numFmt numFmtId="167" formatCode="_(&quot;$&quot;* #,##0.00000_);_(&quot;$&quot;* \(#,##0.00000\);_(&quot;$&quot;* &quot;-&quot;??_);_(@_)"/>
    <numFmt numFmtId="168" formatCode="&quot;$&quot;#,##0.00000_);[Red]\(&quot;$&quot;#,##0.00000\)"/>
    <numFmt numFmtId="169" formatCode="_(* #,##0.0_);_(* \(#,##0.0\);_(* &quot;-&quot;??_);_(@_)"/>
  </numFmts>
  <fonts count="12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Univers"/>
      <family val="2"/>
    </font>
    <font>
      <b/>
      <sz val="10"/>
      <name val="Univers"/>
      <family val="2"/>
    </font>
    <font>
      <sz val="10"/>
      <color indexed="39"/>
      <name val="Univers"/>
      <family val="2"/>
    </font>
    <font>
      <b/>
      <sz val="11"/>
      <color theme="1"/>
      <name val="Calibri"/>
      <family val="2"/>
      <scheme val="minor"/>
    </font>
    <font>
      <b/>
      <sz val="12"/>
      <name val="Univers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0">
    <xf numFmtId="0" fontId="0" fillId="0" borderId="0" xfId="0"/>
    <xf numFmtId="0" fontId="0" fillId="0" borderId="1" xfId="0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44" fontId="0" fillId="0" borderId="0" xfId="2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0" fontId="6" fillId="0" borderId="0" xfId="0" applyNumberFormat="1" applyFont="1" applyProtection="1">
      <protection locked="0"/>
    </xf>
    <xf numFmtId="8" fontId="4" fillId="0" borderId="0" xfId="0" applyNumberFormat="1" applyFont="1"/>
    <xf numFmtId="0" fontId="4" fillId="0" borderId="0" xfId="0" applyFont="1" applyProtection="1">
      <protection locked="0"/>
    </xf>
    <xf numFmtId="8" fontId="4" fillId="0" borderId="5" xfId="0" applyNumberFormat="1" applyFont="1" applyBorder="1"/>
    <xf numFmtId="0" fontId="4" fillId="0" borderId="0" xfId="0" applyFont="1" applyBorder="1"/>
    <xf numFmtId="8" fontId="4" fillId="0" borderId="0" xfId="0" applyNumberFormat="1" applyFont="1" applyBorder="1"/>
    <xf numFmtId="0" fontId="4" fillId="0" borderId="5" xfId="0" applyFont="1" applyBorder="1"/>
    <xf numFmtId="0" fontId="1" fillId="0" borderId="0" xfId="0" applyFont="1"/>
    <xf numFmtId="0" fontId="8" fillId="0" borderId="0" xfId="0" applyFont="1"/>
    <xf numFmtId="164" fontId="4" fillId="0" borderId="0" xfId="0" applyNumberFormat="1" applyFont="1"/>
    <xf numFmtId="44" fontId="4" fillId="0" borderId="0" xfId="2" applyFont="1"/>
    <xf numFmtId="0" fontId="7" fillId="0" borderId="0" xfId="0" applyFont="1"/>
    <xf numFmtId="165" fontId="0" fillId="0" borderId="0" xfId="1" applyNumberFormat="1" applyFont="1"/>
    <xf numFmtId="0" fontId="0" fillId="0" borderId="0" xfId="0" applyAlignment="1">
      <alignment horizontal="center"/>
    </xf>
    <xf numFmtId="44" fontId="0" fillId="0" borderId="0" xfId="0" applyNumberFormat="1"/>
    <xf numFmtId="165" fontId="0" fillId="0" borderId="0" xfId="0" applyNumberFormat="1"/>
    <xf numFmtId="0" fontId="0" fillId="2" borderId="0" xfId="0" applyFill="1"/>
    <xf numFmtId="0" fontId="10" fillId="0" borderId="0" xfId="0" applyFont="1"/>
    <xf numFmtId="0" fontId="10" fillId="0" borderId="0" xfId="0" applyFont="1" applyBorder="1"/>
    <xf numFmtId="44" fontId="10" fillId="0" borderId="0" xfId="2" applyFont="1"/>
    <xf numFmtId="0" fontId="10" fillId="0" borderId="0" xfId="2" applyNumberFormat="1" applyFont="1"/>
    <xf numFmtId="166" fontId="10" fillId="0" borderId="0" xfId="2" applyNumberFormat="1" applyFont="1" applyBorder="1"/>
    <xf numFmtId="166" fontId="10" fillId="0" borderId="0" xfId="0" applyNumberFormat="1" applyFont="1" applyBorder="1"/>
    <xf numFmtId="0" fontId="10" fillId="0" borderId="0" xfId="0" applyFont="1" applyFill="1" applyBorder="1"/>
    <xf numFmtId="165" fontId="10" fillId="0" borderId="0" xfId="1" applyNumberFormat="1" applyFont="1" applyBorder="1"/>
    <xf numFmtId="44" fontId="10" fillId="0" borderId="0" xfId="0" applyNumberFormat="1" applyFont="1" applyBorder="1"/>
    <xf numFmtId="0" fontId="11" fillId="0" borderId="0" xfId="0" applyFont="1" applyBorder="1"/>
    <xf numFmtId="3" fontId="11" fillId="0" borderId="0" xfId="0" applyNumberFormat="1" applyFont="1" applyBorder="1"/>
    <xf numFmtId="16" fontId="11" fillId="0" borderId="0" xfId="0" applyNumberFormat="1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44" fontId="10" fillId="0" borderId="0" xfId="2" applyFont="1" applyBorder="1"/>
    <xf numFmtId="0" fontId="0" fillId="0" borderId="1" xfId="0" applyBorder="1" applyAlignment="1">
      <alignment horizontal="left"/>
    </xf>
    <xf numFmtId="49" fontId="0" fillId="0" borderId="0" xfId="0" quotePrefix="1" applyNumberFormat="1"/>
    <xf numFmtId="0" fontId="10" fillId="0" borderId="16" xfId="0" applyFont="1" applyBorder="1"/>
    <xf numFmtId="0" fontId="10" fillId="0" borderId="16" xfId="0" applyFont="1" applyBorder="1" applyAlignment="1">
      <alignment horizontal="center"/>
    </xf>
    <xf numFmtId="0" fontId="11" fillId="0" borderId="16" xfId="0" applyFont="1" applyBorder="1"/>
    <xf numFmtId="3" fontId="11" fillId="0" borderId="16" xfId="0" applyNumberFormat="1" applyFont="1" applyBorder="1"/>
    <xf numFmtId="166" fontId="10" fillId="0" borderId="16" xfId="2" applyNumberFormat="1" applyFont="1" applyBorder="1"/>
    <xf numFmtId="44" fontId="11" fillId="0" borderId="16" xfId="2" applyFont="1" applyBorder="1"/>
    <xf numFmtId="44" fontId="10" fillId="0" borderId="16" xfId="2" applyFont="1" applyBorder="1"/>
    <xf numFmtId="6" fontId="11" fillId="0" borderId="16" xfId="0" applyNumberFormat="1" applyFont="1" applyBorder="1"/>
    <xf numFmtId="0" fontId="11" fillId="0" borderId="16" xfId="0" applyFont="1" applyBorder="1" applyAlignment="1">
      <alignment horizontal="center"/>
    </xf>
    <xf numFmtId="0" fontId="11" fillId="0" borderId="16" xfId="0" quotePrefix="1" applyFont="1" applyBorder="1" applyAlignment="1">
      <alignment horizontal="center"/>
    </xf>
    <xf numFmtId="2" fontId="11" fillId="0" borderId="16" xfId="0" applyNumberFormat="1" applyFont="1" applyBorder="1"/>
    <xf numFmtId="1" fontId="11" fillId="0" borderId="16" xfId="0" applyNumberFormat="1" applyFont="1" applyBorder="1"/>
    <xf numFmtId="2" fontId="10" fillId="0" borderId="16" xfId="0" applyNumberFormat="1" applyFont="1" applyBorder="1"/>
    <xf numFmtId="1" fontId="10" fillId="0" borderId="16" xfId="0" applyNumberFormat="1" applyFont="1" applyBorder="1"/>
    <xf numFmtId="165" fontId="10" fillId="0" borderId="16" xfId="1" applyNumberFormat="1" applyFont="1" applyBorder="1"/>
    <xf numFmtId="0" fontId="10" fillId="0" borderId="16" xfId="0" applyFont="1" applyBorder="1" applyAlignment="1">
      <alignment horizontal="left"/>
    </xf>
    <xf numFmtId="0" fontId="11" fillId="0" borderId="9" xfId="0" applyFont="1" applyBorder="1"/>
    <xf numFmtId="16" fontId="11" fillId="0" borderId="9" xfId="0" applyNumberFormat="1" applyFont="1" applyBorder="1"/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2" fontId="11" fillId="0" borderId="13" xfId="0" applyNumberFormat="1" applyFont="1" applyBorder="1" applyAlignment="1">
      <alignment horizontal="center"/>
    </xf>
    <xf numFmtId="2" fontId="11" fillId="0" borderId="15" xfId="0" applyNumberFormat="1" applyFont="1" applyBorder="1" applyAlignment="1">
      <alignment horizontal="center"/>
    </xf>
    <xf numFmtId="2" fontId="11" fillId="0" borderId="12" xfId="0" applyNumberFormat="1" applyFont="1" applyBorder="1"/>
    <xf numFmtId="2" fontId="11" fillId="0" borderId="13" xfId="0" applyNumberFormat="1" applyFont="1" applyBorder="1"/>
    <xf numFmtId="2" fontId="11" fillId="0" borderId="14" xfId="0" applyNumberFormat="1" applyFont="1" applyBorder="1"/>
    <xf numFmtId="2" fontId="11" fillId="0" borderId="17" xfId="0" applyNumberFormat="1" applyFont="1" applyBorder="1"/>
    <xf numFmtId="1" fontId="11" fillId="0" borderId="17" xfId="0" applyNumberFormat="1" applyFont="1" applyBorder="1"/>
    <xf numFmtId="2" fontId="11" fillId="0" borderId="15" xfId="0" applyNumberFormat="1" applyFont="1" applyBorder="1"/>
    <xf numFmtId="2" fontId="10" fillId="0" borderId="12" xfId="0" applyNumberFormat="1" applyFont="1" applyBorder="1"/>
    <xf numFmtId="2" fontId="10" fillId="0" borderId="14" xfId="0" applyNumberFormat="1" applyFont="1" applyBorder="1"/>
    <xf numFmtId="2" fontId="10" fillId="0" borderId="17" xfId="0" applyNumberFormat="1" applyFont="1" applyBorder="1"/>
    <xf numFmtId="0" fontId="10" fillId="0" borderId="13" xfId="0" applyFont="1" applyBorder="1"/>
    <xf numFmtId="0" fontId="11" fillId="0" borderId="12" xfId="0" applyFont="1" applyBorder="1"/>
    <xf numFmtId="2" fontId="10" fillId="0" borderId="13" xfId="0" applyNumberFormat="1" applyFont="1" applyBorder="1"/>
    <xf numFmtId="1" fontId="10" fillId="0" borderId="17" xfId="0" applyNumberFormat="1" applyFont="1" applyBorder="1"/>
    <xf numFmtId="2" fontId="10" fillId="0" borderId="15" xfId="0" applyNumberFormat="1" applyFont="1" applyBorder="1"/>
    <xf numFmtId="0" fontId="10" fillId="0" borderId="0" xfId="2" applyNumberFormat="1" applyFont="1" applyBorder="1"/>
    <xf numFmtId="44" fontId="11" fillId="0" borderId="16" xfId="2" applyFont="1" applyBorder="1" applyAlignment="1">
      <alignment horizontal="center"/>
    </xf>
    <xf numFmtId="0" fontId="2" fillId="0" borderId="0" xfId="0" applyFont="1"/>
    <xf numFmtId="3" fontId="0" fillId="0" borderId="0" xfId="0" applyNumberFormat="1"/>
    <xf numFmtId="167" fontId="0" fillId="0" borderId="0" xfId="2" applyNumberFormat="1" applyFont="1"/>
    <xf numFmtId="0" fontId="2" fillId="3" borderId="2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3" borderId="21" xfId="0" applyFill="1" applyBorder="1"/>
    <xf numFmtId="0" fontId="0" fillId="3" borderId="0" xfId="0" applyFill="1" applyBorder="1"/>
    <xf numFmtId="0" fontId="0" fillId="2" borderId="21" xfId="0" applyFill="1" applyBorder="1"/>
    <xf numFmtId="0" fontId="0" fillId="4" borderId="21" xfId="0" applyFill="1" applyBorder="1"/>
    <xf numFmtId="0" fontId="0" fillId="5" borderId="21" xfId="0" applyFill="1" applyBorder="1"/>
    <xf numFmtId="44" fontId="0" fillId="0" borderId="0" xfId="2" applyFont="1" applyAlignment="1">
      <alignment horizontal="center"/>
    </xf>
    <xf numFmtId="44" fontId="0" fillId="3" borderId="21" xfId="2" applyFont="1" applyFill="1" applyBorder="1"/>
    <xf numFmtId="44" fontId="0" fillId="3" borderId="0" xfId="2" applyFont="1" applyFill="1" applyBorder="1"/>
    <xf numFmtId="44" fontId="0" fillId="2" borderId="21" xfId="2" applyFont="1" applyFill="1" applyBorder="1"/>
    <xf numFmtId="44" fontId="0" fillId="4" borderId="21" xfId="2" applyFont="1" applyFill="1" applyBorder="1"/>
    <xf numFmtId="44" fontId="0" fillId="5" borderId="21" xfId="2" applyFont="1" applyFill="1" applyBorder="1"/>
    <xf numFmtId="44" fontId="0" fillId="3" borderId="21" xfId="0" applyNumberFormat="1" applyFill="1" applyBorder="1"/>
    <xf numFmtId="44" fontId="0" fillId="3" borderId="0" xfId="0" applyNumberFormat="1" applyFill="1" applyBorder="1"/>
    <xf numFmtId="44" fontId="0" fillId="2" borderId="21" xfId="0" applyNumberFormat="1" applyFill="1" applyBorder="1"/>
    <xf numFmtId="44" fontId="0" fillId="4" borderId="21" xfId="0" applyNumberFormat="1" applyFill="1" applyBorder="1"/>
    <xf numFmtId="44" fontId="0" fillId="5" borderId="21" xfId="0" applyNumberFormat="1" applyFill="1" applyBorder="1"/>
    <xf numFmtId="165" fontId="0" fillId="3" borderId="21" xfId="1" applyNumberFormat="1" applyFont="1" applyFill="1" applyBorder="1"/>
    <xf numFmtId="165" fontId="0" fillId="3" borderId="0" xfId="1" applyNumberFormat="1" applyFont="1" applyFill="1" applyBorder="1"/>
    <xf numFmtId="165" fontId="0" fillId="2" borderId="21" xfId="1" applyNumberFormat="1" applyFont="1" applyFill="1" applyBorder="1"/>
    <xf numFmtId="165" fontId="0" fillId="4" borderId="21" xfId="1" applyNumberFormat="1" applyFont="1" applyFill="1" applyBorder="1"/>
    <xf numFmtId="165" fontId="0" fillId="5" borderId="21" xfId="1" applyNumberFormat="1" applyFont="1" applyFill="1" applyBorder="1"/>
    <xf numFmtId="44" fontId="0" fillId="3" borderId="6" xfId="0" applyNumberFormat="1" applyFill="1" applyBorder="1"/>
    <xf numFmtId="44" fontId="0" fillId="2" borderId="6" xfId="0" applyNumberFormat="1" applyFill="1" applyBorder="1"/>
    <xf numFmtId="44" fontId="0" fillId="4" borderId="6" xfId="0" applyNumberFormat="1" applyFill="1" applyBorder="1"/>
    <xf numFmtId="44" fontId="0" fillId="5" borderId="6" xfId="0" applyNumberFormat="1" applyFill="1" applyBorder="1"/>
    <xf numFmtId="44" fontId="2" fillId="0" borderId="0" xfId="2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44" fontId="0" fillId="0" borderId="0" xfId="2" applyFont="1" applyFill="1" applyBorder="1"/>
    <xf numFmtId="44" fontId="0" fillId="0" borderId="0" xfId="0" applyNumberFormat="1" applyFill="1" applyBorder="1"/>
    <xf numFmtId="165" fontId="0" fillId="0" borderId="0" xfId="1" applyNumberFormat="1" applyFont="1" applyFill="1" applyBorder="1"/>
    <xf numFmtId="0" fontId="10" fillId="0" borderId="0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" fontId="11" fillId="0" borderId="5" xfId="0" applyNumberFormat="1" applyFont="1" applyBorder="1"/>
    <xf numFmtId="1" fontId="11" fillId="0" borderId="5" xfId="0" applyNumberFormat="1" applyFont="1" applyBorder="1" applyAlignment="1">
      <alignment horizontal="center"/>
    </xf>
    <xf numFmtId="2" fontId="11" fillId="0" borderId="5" xfId="0" applyNumberFormat="1" applyFont="1" applyBorder="1" applyAlignment="1">
      <alignment horizontal="center"/>
    </xf>
    <xf numFmtId="2" fontId="11" fillId="0" borderId="5" xfId="0" applyNumberFormat="1" applyFont="1" applyBorder="1"/>
    <xf numFmtId="1" fontId="11" fillId="0" borderId="5" xfId="0" applyNumberFormat="1" applyFont="1" applyBorder="1"/>
    <xf numFmtId="2" fontId="10" fillId="0" borderId="5" xfId="0" applyNumberFormat="1" applyFont="1" applyBorder="1"/>
    <xf numFmtId="1" fontId="10" fillId="0" borderId="5" xfId="0" applyNumberFormat="1" applyFont="1" applyBorder="1"/>
    <xf numFmtId="169" fontId="0" fillId="0" borderId="0" xfId="1" applyNumberFormat="1" applyFont="1"/>
    <xf numFmtId="44" fontId="11" fillId="0" borderId="0" xfId="2" applyFont="1" applyBorder="1" applyAlignment="1">
      <alignment horizontal="center"/>
    </xf>
    <xf numFmtId="8" fontId="11" fillId="0" borderId="16" xfId="0" applyNumberFormat="1" applyFont="1" applyBorder="1" applyAlignment="1">
      <alignment horizontal="left"/>
    </xf>
    <xf numFmtId="165" fontId="11" fillId="0" borderId="12" xfId="1" applyNumberFormat="1" applyFont="1" applyBorder="1" applyAlignment="1">
      <alignment horizontal="center"/>
    </xf>
    <xf numFmtId="165" fontId="11" fillId="0" borderId="14" xfId="1" applyNumberFormat="1" applyFont="1" applyBorder="1" applyAlignment="1">
      <alignment horizontal="center"/>
    </xf>
    <xf numFmtId="0" fontId="10" fillId="0" borderId="16" xfId="0" applyFont="1" applyBorder="1" applyAlignment="1">
      <alignment horizontal="left"/>
    </xf>
    <xf numFmtId="44" fontId="4" fillId="0" borderId="5" xfId="2" applyFont="1" applyBorder="1" applyAlignment="1">
      <alignment horizontal="center"/>
    </xf>
    <xf numFmtId="8" fontId="4" fillId="0" borderId="1" xfId="0" applyNumberFormat="1" applyFont="1" applyBorder="1"/>
    <xf numFmtId="165" fontId="11" fillId="0" borderId="16" xfId="1" applyNumberFormat="1" applyFont="1" applyBorder="1"/>
    <xf numFmtId="0" fontId="11" fillId="0" borderId="0" xfId="0" quotePrefix="1" applyFont="1" applyBorder="1" applyAlignment="1">
      <alignment horizontal="center"/>
    </xf>
    <xf numFmtId="44" fontId="11" fillId="0" borderId="0" xfId="2" applyFont="1" applyBorder="1"/>
    <xf numFmtId="165" fontId="11" fillId="0" borderId="0" xfId="1" applyNumberFormat="1" applyFont="1" applyBorder="1"/>
    <xf numFmtId="0" fontId="10" fillId="0" borderId="1" xfId="0" applyFont="1" applyBorder="1" applyAlignment="1">
      <alignment horizontal="left"/>
    </xf>
    <xf numFmtId="0" fontId="7" fillId="0" borderId="0" xfId="0" applyFont="1" applyProtection="1">
      <protection locked="0"/>
    </xf>
    <xf numFmtId="0" fontId="0" fillId="0" borderId="0" xfId="0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165" fontId="0" fillId="0" borderId="0" xfId="1" applyNumberFormat="1" applyFont="1" applyProtection="1">
      <protection locked="0"/>
    </xf>
    <xf numFmtId="8" fontId="0" fillId="0" borderId="0" xfId="2" applyNumberFormat="1" applyFont="1" applyProtection="1">
      <protection locked="0"/>
    </xf>
    <xf numFmtId="8" fontId="0" fillId="0" borderId="0" xfId="0" applyNumberFormat="1" applyAlignment="1" applyProtection="1">
      <alignment horizontal="center"/>
      <protection locked="0"/>
    </xf>
    <xf numFmtId="6" fontId="0" fillId="0" borderId="0" xfId="0" applyNumberFormat="1" applyAlignment="1" applyProtection="1">
      <alignment horizontal="center"/>
      <protection locked="0"/>
    </xf>
    <xf numFmtId="165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8" fontId="0" fillId="0" borderId="0" xfId="2" applyNumberFormat="1" applyFont="1" applyProtection="1"/>
    <xf numFmtId="3" fontId="0" fillId="0" borderId="0" xfId="0" applyNumberFormat="1" applyProtection="1">
      <protection locked="0"/>
    </xf>
    <xf numFmtId="44" fontId="0" fillId="0" borderId="0" xfId="0" applyNumberFormat="1" applyProtection="1">
      <protection locked="0"/>
    </xf>
    <xf numFmtId="8" fontId="0" fillId="0" borderId="8" xfId="2" applyNumberFormat="1" applyFont="1" applyBorder="1" applyProtection="1">
      <protection locked="0"/>
    </xf>
    <xf numFmtId="44" fontId="0" fillId="0" borderId="0" xfId="2" applyFont="1" applyProtection="1">
      <protection locked="0"/>
    </xf>
    <xf numFmtId="3" fontId="0" fillId="0" borderId="0" xfId="0" applyNumberFormat="1" applyAlignment="1" applyProtection="1">
      <alignment horizontal="center"/>
      <protection locked="0"/>
    </xf>
    <xf numFmtId="8" fontId="0" fillId="0" borderId="0" xfId="0" applyNumberFormat="1" applyProtection="1">
      <protection locked="0"/>
    </xf>
    <xf numFmtId="169" fontId="0" fillId="0" borderId="0" xfId="1" applyNumberFormat="1" applyFont="1" applyFill="1"/>
    <xf numFmtId="165" fontId="10" fillId="0" borderId="9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" xfId="0" quotePrefix="1" applyFont="1" applyBorder="1" applyAlignment="1">
      <alignment horizontal="center"/>
    </xf>
    <xf numFmtId="0" fontId="10" fillId="0" borderId="1" xfId="2" applyNumberFormat="1" applyFont="1" applyBorder="1" applyAlignment="1">
      <alignment horizontal="center"/>
    </xf>
    <xf numFmtId="44" fontId="10" fillId="0" borderId="1" xfId="2" applyFont="1" applyBorder="1" applyAlignment="1">
      <alignment horizontal="center"/>
    </xf>
    <xf numFmtId="44" fontId="10" fillId="0" borderId="9" xfId="2" applyFont="1" applyBorder="1" applyAlignment="1">
      <alignment horizontal="center"/>
    </xf>
    <xf numFmtId="44" fontId="10" fillId="0" borderId="18" xfId="2" applyFont="1" applyBorder="1" applyAlignment="1">
      <alignment horizontal="center"/>
    </xf>
    <xf numFmtId="165" fontId="10" fillId="0" borderId="9" xfId="1" applyNumberFormat="1" applyFont="1" applyBorder="1" applyAlignment="1">
      <alignment horizontal="center"/>
    </xf>
    <xf numFmtId="165" fontId="10" fillId="0" borderId="18" xfId="1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9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166" fontId="10" fillId="0" borderId="16" xfId="0" applyNumberFormat="1" applyFont="1" applyBorder="1" applyAlignment="1">
      <alignment horizontal="right"/>
    </xf>
    <xf numFmtId="166" fontId="10" fillId="0" borderId="16" xfId="2" applyNumberFormat="1" applyFont="1" applyBorder="1" applyAlignment="1">
      <alignment horizontal="right"/>
    </xf>
    <xf numFmtId="166" fontId="10" fillId="0" borderId="0" xfId="2" applyNumberFormat="1" applyFont="1" applyBorder="1" applyAlignment="1">
      <alignment horizontal="right"/>
    </xf>
    <xf numFmtId="166" fontId="10" fillId="0" borderId="16" xfId="2" applyNumberFormat="1" applyFont="1" applyBorder="1" applyAlignment="1">
      <alignment horizontal="center"/>
    </xf>
    <xf numFmtId="166" fontId="10" fillId="0" borderId="7" xfId="2" applyNumberFormat="1" applyFont="1" applyBorder="1" applyAlignment="1">
      <alignment horizontal="center"/>
    </xf>
    <xf numFmtId="166" fontId="10" fillId="0" borderId="19" xfId="2" applyNumberFormat="1" applyFont="1" applyBorder="1" applyAlignment="1">
      <alignment horizontal="center"/>
    </xf>
    <xf numFmtId="166" fontId="10" fillId="0" borderId="16" xfId="2" applyNumberFormat="1" applyFont="1" applyFill="1" applyBorder="1" applyAlignment="1">
      <alignment horizontal="right"/>
    </xf>
    <xf numFmtId="165" fontId="10" fillId="0" borderId="0" xfId="1" applyNumberFormat="1" applyFont="1" applyBorder="1" applyAlignment="1">
      <alignment horizontal="right"/>
    </xf>
    <xf numFmtId="44" fontId="10" fillId="0" borderId="16" xfId="0" applyNumberFormat="1" applyFont="1" applyBorder="1" applyAlignment="1">
      <alignment horizontal="right"/>
    </xf>
    <xf numFmtId="44" fontId="10" fillId="0" borderId="16" xfId="2" applyFont="1" applyBorder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lineChart>
        <c:grouping val="standard"/>
        <c:ser>
          <c:idx val="0"/>
          <c:order val="0"/>
          <c:tx>
            <c:v>Wheat Yield</c:v>
          </c:tx>
          <c:marker>
            <c:symbol val="none"/>
          </c:marker>
          <c:trendline>
            <c:trendlineType val="linear"/>
          </c:trendline>
          <c:cat>
            <c:numRef>
              <c:f>'[1]Production Info'!$B$3:$B$34</c:f>
              <c:numCache>
                <c:formatCode>General</c:formatCode>
                <c:ptCount val="3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</c:numCache>
            </c:numRef>
          </c:cat>
          <c:val>
            <c:numRef>
              <c:f>Production!$E$3:$E$31</c:f>
              <c:numCache>
                <c:formatCode>_(* #,##0.0_);_(* \(#,##0.0\);_(* "-"??_);_(@_)</c:formatCode>
                <c:ptCount val="29"/>
                <c:pt idx="0">
                  <c:v>15.706106870229007</c:v>
                </c:pt>
                <c:pt idx="1">
                  <c:v>22.216157205240176</c:v>
                </c:pt>
                <c:pt idx="2">
                  <c:v>18.106591865357643</c:v>
                </c:pt>
                <c:pt idx="3">
                  <c:v>18.356353591160222</c:v>
                </c:pt>
                <c:pt idx="4">
                  <c:v>16.657263751763047</c:v>
                </c:pt>
                <c:pt idx="5">
                  <c:v>20.922909880564603</c:v>
                </c:pt>
                <c:pt idx="6">
                  <c:v>13.372262773722628</c:v>
                </c:pt>
                <c:pt idx="7">
                  <c:v>19.226118500604596</c:v>
                </c:pt>
                <c:pt idx="8">
                  <c:v>19.108695652173914</c:v>
                </c:pt>
                <c:pt idx="9">
                  <c:v>14.418604651162791</c:v>
                </c:pt>
                <c:pt idx="10">
                  <c:v>21.81981981981982</c:v>
                </c:pt>
                <c:pt idx="11">
                  <c:v>22.615384615384617</c:v>
                </c:pt>
                <c:pt idx="12">
                  <c:v>24.981684981684982</c:v>
                </c:pt>
                <c:pt idx="13">
                  <c:v>18.806262230919764</c:v>
                </c:pt>
                <c:pt idx="14">
                  <c:v>13.193717277486911</c:v>
                </c:pt>
                <c:pt idx="15">
                  <c:v>26.077738515901061</c:v>
                </c:pt>
                <c:pt idx="16">
                  <c:v>17.142857142857142</c:v>
                </c:pt>
                <c:pt idx="17">
                  <c:v>26.360153256704979</c:v>
                </c:pt>
                <c:pt idx="18">
                  <c:v>20.870406189555126</c:v>
                </c:pt>
                <c:pt idx="19">
                  <c:v>24.728546409807354</c:v>
                </c:pt>
                <c:pt idx="20">
                  <c:v>24.444444444444443</c:v>
                </c:pt>
                <c:pt idx="21">
                  <c:v>27.940414507772022</c:v>
                </c:pt>
                <c:pt idx="22">
                  <c:v>19.280442804428045</c:v>
                </c:pt>
                <c:pt idx="23">
                  <c:v>17.525539160045405</c:v>
                </c:pt>
                <c:pt idx="24">
                  <c:v>29.441997063142438</c:v>
                </c:pt>
                <c:pt idx="25">
                  <c:v>25.657894736842106</c:v>
                </c:pt>
                <c:pt idx="26">
                  <c:v>17.903780068728523</c:v>
                </c:pt>
                <c:pt idx="27">
                  <c:v>26.138743455497384</c:v>
                </c:pt>
                <c:pt idx="28">
                  <c:v>25.435056746532155</c:v>
                </c:pt>
              </c:numCache>
            </c:numRef>
          </c:val>
        </c:ser>
        <c:marker val="1"/>
        <c:axId val="68944640"/>
        <c:axId val="68946176"/>
      </c:lineChart>
      <c:catAx>
        <c:axId val="68944640"/>
        <c:scaling>
          <c:orientation val="minMax"/>
        </c:scaling>
        <c:axPos val="b"/>
        <c:numFmt formatCode="General" sourceLinked="1"/>
        <c:tickLblPos val="nextTo"/>
        <c:crossAx val="68946176"/>
        <c:crosses val="autoZero"/>
        <c:auto val="1"/>
        <c:lblAlgn val="ctr"/>
        <c:lblOffset val="100"/>
      </c:catAx>
      <c:valAx>
        <c:axId val="68946176"/>
        <c:scaling>
          <c:orientation val="minMax"/>
        </c:scaling>
        <c:axPos val="l"/>
        <c:majorGridlines/>
        <c:numFmt formatCode="_(* #,##0.0_);_(* \(#,##0.0\);_(* &quot;-&quot;??_);_(@_)" sourceLinked="1"/>
        <c:tickLblPos val="nextTo"/>
        <c:crossAx val="68944640"/>
        <c:crosses val="autoZero"/>
        <c:crossBetween val="between"/>
      </c:valAx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lineChart>
        <c:grouping val="standard"/>
        <c:ser>
          <c:idx val="0"/>
          <c:order val="0"/>
          <c:tx>
            <c:v>Corn Yield</c:v>
          </c:tx>
          <c:marker>
            <c:symbol val="none"/>
          </c:marker>
          <c:trendline>
            <c:trendlineType val="linear"/>
          </c:trendline>
          <c:cat>
            <c:numRef>
              <c:f>Production!$I$3:$I$34</c:f>
              <c:numCache>
                <c:formatCode>General</c:formatCode>
                <c:ptCount val="3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</c:numCache>
            </c:numRef>
          </c:cat>
          <c:val>
            <c:numRef>
              <c:f>Production!$L$3:$L$33</c:f>
              <c:numCache>
                <c:formatCode>_(* #,##0.0_);_(* \(#,##0.0\);_(* "-"??_);_(@_)</c:formatCode>
                <c:ptCount val="31"/>
                <c:pt idx="0">
                  <c:v>83.3</c:v>
                </c:pt>
                <c:pt idx="1">
                  <c:v>113.7</c:v>
                </c:pt>
                <c:pt idx="2">
                  <c:v>89.5</c:v>
                </c:pt>
                <c:pt idx="3">
                  <c:v>28.1</c:v>
                </c:pt>
                <c:pt idx="4">
                  <c:v>84.2</c:v>
                </c:pt>
                <c:pt idx="5">
                  <c:v>120.4</c:v>
                </c:pt>
                <c:pt idx="6">
                  <c:v>117.4</c:v>
                </c:pt>
                <c:pt idx="7">
                  <c:v>108</c:v>
                </c:pt>
                <c:pt idx="8">
                  <c:v>39.299999999999997</c:v>
                </c:pt>
                <c:pt idx="9">
                  <c:v>84.8</c:v>
                </c:pt>
                <c:pt idx="10">
                  <c:v>97.4</c:v>
                </c:pt>
                <c:pt idx="11">
                  <c:v>105.7</c:v>
                </c:pt>
                <c:pt idx="12">
                  <c:v>124.6</c:v>
                </c:pt>
                <c:pt idx="13">
                  <c:v>48.8</c:v>
                </c:pt>
                <c:pt idx="14">
                  <c:v>138.5</c:v>
                </c:pt>
                <c:pt idx="15">
                  <c:v>68.900000000000006</c:v>
                </c:pt>
                <c:pt idx="16">
                  <c:v>131.6</c:v>
                </c:pt>
                <c:pt idx="17">
                  <c:v>117.1</c:v>
                </c:pt>
                <c:pt idx="18">
                  <c:v>98.8</c:v>
                </c:pt>
                <c:pt idx="19">
                  <c:v>113.4</c:v>
                </c:pt>
                <c:pt idx="20">
                  <c:v>148.4</c:v>
                </c:pt>
                <c:pt idx="21">
                  <c:v>116.6</c:v>
                </c:pt>
                <c:pt idx="22">
                  <c:v>132.1</c:v>
                </c:pt>
                <c:pt idx="23">
                  <c:v>128.80000000000001</c:v>
                </c:pt>
                <c:pt idx="24">
                  <c:v>175.5</c:v>
                </c:pt>
                <c:pt idx="25">
                  <c:v>163.9</c:v>
                </c:pt>
                <c:pt idx="26">
                  <c:v>157.5</c:v>
                </c:pt>
                <c:pt idx="27">
                  <c:v>155.5</c:v>
                </c:pt>
                <c:pt idx="28">
                  <c:v>112</c:v>
                </c:pt>
                <c:pt idx="29">
                  <c:v>145</c:v>
                </c:pt>
                <c:pt idx="30">
                  <c:v>94.3</c:v>
                </c:pt>
              </c:numCache>
            </c:numRef>
          </c:val>
        </c:ser>
        <c:marker val="1"/>
        <c:axId val="68979328"/>
        <c:axId val="68997504"/>
      </c:lineChart>
      <c:catAx>
        <c:axId val="68979328"/>
        <c:scaling>
          <c:orientation val="minMax"/>
        </c:scaling>
        <c:axPos val="b"/>
        <c:numFmt formatCode="General" sourceLinked="1"/>
        <c:tickLblPos val="nextTo"/>
        <c:crossAx val="68997504"/>
        <c:crosses val="autoZero"/>
        <c:auto val="1"/>
        <c:lblAlgn val="ctr"/>
        <c:lblOffset val="100"/>
      </c:catAx>
      <c:valAx>
        <c:axId val="68997504"/>
        <c:scaling>
          <c:orientation val="minMax"/>
        </c:scaling>
        <c:axPos val="l"/>
        <c:majorGridlines/>
        <c:numFmt formatCode="_(* #,##0.0_);_(* \(#,##0.0\);_(* &quot;-&quot;??_);_(@_)" sourceLinked="1"/>
        <c:tickLblPos val="nextTo"/>
        <c:crossAx val="68979328"/>
        <c:crosses val="autoZero"/>
        <c:crossBetween val="between"/>
      </c:valAx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4762</xdr:rowOff>
    </xdr:from>
    <xdr:to>
      <xdr:col>6</xdr:col>
      <xdr:colOff>9525</xdr:colOff>
      <xdr:row>51</xdr:row>
      <xdr:rowOff>80962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36</xdr:row>
      <xdr:rowOff>119062</xdr:rowOff>
    </xdr:from>
    <xdr:to>
      <xdr:col>13</xdr:col>
      <xdr:colOff>571500</xdr:colOff>
      <xdr:row>51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mwelch/My%20Documents/Marketing%20Seminar/DTN_Chicago_2010/Ledg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les Ledger_elec"/>
      <sheetName val="Recap_elec"/>
      <sheetName val="Yields"/>
      <sheetName val="Prices"/>
      <sheetName val="KWN06"/>
      <sheetName val="Recap 2"/>
      <sheetName val="Hail ins"/>
      <sheetName val="Sales Ledger_paper"/>
      <sheetName val="Recap_paper"/>
      <sheetName val="Production Info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B3">
            <v>1980</v>
          </cell>
        </row>
        <row r="4">
          <cell r="B4">
            <v>1981</v>
          </cell>
        </row>
        <row r="5">
          <cell r="B5">
            <v>1982</v>
          </cell>
        </row>
        <row r="6">
          <cell r="B6">
            <v>1983</v>
          </cell>
        </row>
        <row r="7">
          <cell r="B7">
            <v>1984</v>
          </cell>
        </row>
        <row r="8">
          <cell r="B8">
            <v>1985</v>
          </cell>
        </row>
        <row r="9">
          <cell r="B9">
            <v>1986</v>
          </cell>
        </row>
        <row r="10">
          <cell r="B10">
            <v>1987</v>
          </cell>
        </row>
        <row r="11">
          <cell r="B11">
            <v>1988</v>
          </cell>
        </row>
        <row r="12">
          <cell r="B12">
            <v>1989</v>
          </cell>
        </row>
        <row r="13">
          <cell r="B13">
            <v>1990</v>
          </cell>
        </row>
        <row r="14">
          <cell r="B14">
            <v>1991</v>
          </cell>
        </row>
        <row r="15">
          <cell r="B15">
            <v>1992</v>
          </cell>
        </row>
        <row r="16">
          <cell r="B16">
            <v>1993</v>
          </cell>
        </row>
        <row r="17">
          <cell r="B17">
            <v>1994</v>
          </cell>
        </row>
        <row r="18">
          <cell r="B18">
            <v>1995</v>
          </cell>
        </row>
        <row r="19">
          <cell r="B19">
            <v>1996</v>
          </cell>
        </row>
        <row r="20">
          <cell r="B20">
            <v>1997</v>
          </cell>
        </row>
        <row r="21">
          <cell r="B21">
            <v>1998</v>
          </cell>
        </row>
        <row r="22">
          <cell r="B22">
            <v>1999</v>
          </cell>
        </row>
        <row r="23">
          <cell r="B23">
            <v>2000</v>
          </cell>
        </row>
        <row r="24">
          <cell r="B24">
            <v>2001</v>
          </cell>
        </row>
        <row r="25">
          <cell r="B25">
            <v>2002</v>
          </cell>
        </row>
        <row r="26">
          <cell r="B26">
            <v>2003</v>
          </cell>
        </row>
        <row r="27">
          <cell r="B27">
            <v>2004</v>
          </cell>
        </row>
        <row r="28">
          <cell r="B28">
            <v>2005</v>
          </cell>
        </row>
        <row r="29">
          <cell r="B29">
            <v>2006</v>
          </cell>
        </row>
        <row r="30">
          <cell r="B30">
            <v>2007</v>
          </cell>
        </row>
        <row r="31">
          <cell r="B31">
            <v>2008</v>
          </cell>
        </row>
        <row r="32">
          <cell r="B32">
            <v>2009</v>
          </cell>
        </row>
        <row r="33">
          <cell r="B33">
            <v>2010</v>
          </cell>
        </row>
        <row r="34">
          <cell r="B34">
            <v>2011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tabSelected="1" zoomScale="115" zoomScaleNormal="115" workbookViewId="0">
      <selection activeCell="I5" sqref="I5"/>
    </sheetView>
  </sheetViews>
  <sheetFormatPr defaultColWidth="8.7109375" defaultRowHeight="15" customHeight="1"/>
  <cols>
    <col min="1" max="2" width="7.7109375" style="28" customWidth="1"/>
    <col min="3" max="3" width="8.5703125" style="28" customWidth="1"/>
    <col min="4" max="4" width="9.28515625" style="28" customWidth="1"/>
    <col min="5" max="6" width="6.7109375" style="28" customWidth="1"/>
    <col min="7" max="7" width="7.5703125" style="28" customWidth="1"/>
    <col min="8" max="8" width="7.7109375" style="28" customWidth="1"/>
    <col min="9" max="9" width="6.85546875" style="28" customWidth="1"/>
    <col min="10" max="10" width="6.42578125" style="28" customWidth="1"/>
    <col min="11" max="11" width="7.42578125" style="28" customWidth="1"/>
    <col min="12" max="12" width="6.7109375" style="28" customWidth="1"/>
    <col min="13" max="13" width="8.140625" style="28" customWidth="1"/>
    <col min="14" max="14" width="6.140625" style="28" customWidth="1"/>
    <col min="15" max="15" width="7.85546875" style="28" customWidth="1"/>
    <col min="16" max="16" width="6" style="28" customWidth="1"/>
    <col min="17" max="17" width="5.85546875" style="28" customWidth="1"/>
    <col min="18" max="18" width="6.7109375" style="28" customWidth="1"/>
    <col min="19" max="19" width="6.42578125" style="28" customWidth="1"/>
    <col min="20" max="16384" width="8.7109375" style="28"/>
  </cols>
  <sheetData>
    <row r="1" spans="1:20" ht="15" customHeight="1">
      <c r="A1" s="178" t="s">
        <v>73</v>
      </c>
      <c r="B1" s="178"/>
    </row>
    <row r="2" spans="1:20" ht="15" customHeight="1">
      <c r="A2" s="144" t="s">
        <v>7</v>
      </c>
      <c r="D2" s="39"/>
      <c r="E2" s="123" t="s">
        <v>38</v>
      </c>
      <c r="F2" s="123"/>
      <c r="J2" s="36" t="s">
        <v>154</v>
      </c>
    </row>
    <row r="3" spans="1:20" ht="15" customHeight="1">
      <c r="A3" s="175" t="s">
        <v>37</v>
      </c>
      <c r="B3" s="176"/>
      <c r="C3" s="140">
        <v>1000</v>
      </c>
      <c r="D3" s="143"/>
      <c r="E3" s="47" t="s">
        <v>74</v>
      </c>
      <c r="F3" s="52" t="s">
        <v>89</v>
      </c>
      <c r="G3" s="53" t="s">
        <v>146</v>
      </c>
      <c r="H3" s="134" t="s">
        <v>79</v>
      </c>
      <c r="J3" s="47" t="s">
        <v>155</v>
      </c>
      <c r="K3" s="49">
        <f>'WHEAT Budget'!C17</f>
        <v>106</v>
      </c>
      <c r="L3" s="50" t="s">
        <v>87</v>
      </c>
      <c r="M3" s="50">
        <f>K3/$C$4</f>
        <v>5.3</v>
      </c>
      <c r="P3" s="42"/>
    </row>
    <row r="4" spans="1:20" ht="15" customHeight="1">
      <c r="A4" s="175" t="s">
        <v>81</v>
      </c>
      <c r="B4" s="176"/>
      <c r="C4" s="47">
        <v>20</v>
      </c>
      <c r="D4" s="36"/>
      <c r="E4" s="47" t="s">
        <v>75</v>
      </c>
      <c r="F4" s="54">
        <v>65</v>
      </c>
      <c r="G4" s="82">
        <v>8.6199999999999992</v>
      </c>
      <c r="H4" s="82">
        <v>12</v>
      </c>
      <c r="J4" s="47" t="s">
        <v>86</v>
      </c>
      <c r="K4" s="49">
        <f>'WHEAT Budget'!C25</f>
        <v>157</v>
      </c>
      <c r="L4" s="50" t="s">
        <v>88</v>
      </c>
      <c r="M4" s="50">
        <f>K4/$C$4</f>
        <v>7.85</v>
      </c>
      <c r="P4" s="42"/>
    </row>
    <row r="5" spans="1:20" ht="15" customHeight="1">
      <c r="A5" s="175" t="s">
        <v>158</v>
      </c>
      <c r="B5" s="176"/>
      <c r="C5" s="48">
        <f>C3*C4</f>
        <v>20000</v>
      </c>
      <c r="D5" s="37"/>
      <c r="E5" s="36"/>
      <c r="G5" s="141"/>
      <c r="H5" s="133"/>
      <c r="I5" s="133"/>
    </row>
    <row r="6" spans="1:20" ht="15" customHeight="1">
      <c r="A6" s="36"/>
      <c r="B6" s="36"/>
      <c r="C6" s="36"/>
      <c r="D6" s="36"/>
      <c r="E6" s="36"/>
      <c r="F6" s="36"/>
      <c r="G6" s="141"/>
      <c r="H6" s="133"/>
      <c r="I6" s="133"/>
      <c r="J6" s="36"/>
      <c r="K6" s="36"/>
      <c r="L6" s="31"/>
      <c r="M6" s="31"/>
      <c r="N6" s="142"/>
      <c r="O6" s="142"/>
      <c r="P6" s="42"/>
      <c r="T6" s="36"/>
    </row>
    <row r="7" spans="1:20" ht="15" customHeight="1" thickBo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133"/>
      <c r="P7" s="133"/>
      <c r="Q7" s="133"/>
      <c r="R7" s="36"/>
      <c r="S7" s="36"/>
      <c r="T7" s="36"/>
    </row>
    <row r="8" spans="1:20" ht="15" customHeight="1">
      <c r="A8" s="36"/>
      <c r="B8" s="173" t="s">
        <v>76</v>
      </c>
      <c r="C8" s="179"/>
      <c r="D8" s="173" t="s">
        <v>43</v>
      </c>
      <c r="E8" s="174"/>
      <c r="F8" s="174"/>
      <c r="G8" s="124" t="s">
        <v>82</v>
      </c>
      <c r="H8" s="173" t="s">
        <v>44</v>
      </c>
      <c r="I8" s="174"/>
      <c r="J8" s="174"/>
      <c r="K8" s="124" t="s">
        <v>82</v>
      </c>
      <c r="L8" s="173" t="s">
        <v>47</v>
      </c>
      <c r="M8" s="174"/>
      <c r="N8" s="174"/>
      <c r="O8" s="124" t="s">
        <v>82</v>
      </c>
      <c r="P8" s="173" t="s">
        <v>48</v>
      </c>
      <c r="Q8" s="174"/>
      <c r="R8" s="174"/>
      <c r="S8" s="124" t="s">
        <v>82</v>
      </c>
    </row>
    <row r="9" spans="1:20" ht="15" customHeight="1">
      <c r="A9" s="61" t="s">
        <v>39</v>
      </c>
      <c r="B9" s="63" t="s">
        <v>80</v>
      </c>
      <c r="C9" s="64" t="s">
        <v>41</v>
      </c>
      <c r="D9" s="63" t="s">
        <v>78</v>
      </c>
      <c r="E9" s="53" t="s">
        <v>79</v>
      </c>
      <c r="F9" s="53" t="s">
        <v>80</v>
      </c>
      <c r="G9" s="64" t="s">
        <v>79</v>
      </c>
      <c r="H9" s="63" t="s">
        <v>78</v>
      </c>
      <c r="I9" s="53" t="s">
        <v>79</v>
      </c>
      <c r="J9" s="53" t="s">
        <v>80</v>
      </c>
      <c r="K9" s="64" t="s">
        <v>79</v>
      </c>
      <c r="L9" s="63" t="s">
        <v>78</v>
      </c>
      <c r="M9" s="53" t="s">
        <v>79</v>
      </c>
      <c r="N9" s="53" t="s">
        <v>80</v>
      </c>
      <c r="O9" s="76"/>
      <c r="P9" s="77" t="s">
        <v>77</v>
      </c>
      <c r="Q9" s="53" t="s">
        <v>79</v>
      </c>
      <c r="R9" s="53" t="s">
        <v>80</v>
      </c>
      <c r="S9" s="64" t="s">
        <v>79</v>
      </c>
    </row>
    <row r="10" spans="1:20" ht="15" customHeight="1">
      <c r="A10" s="62">
        <v>40892</v>
      </c>
      <c r="B10" s="135"/>
      <c r="C10" s="65"/>
      <c r="D10" s="67"/>
      <c r="E10" s="55"/>
      <c r="F10" s="56"/>
      <c r="G10" s="68"/>
      <c r="H10" s="73"/>
      <c r="I10" s="57"/>
      <c r="J10" s="58"/>
      <c r="K10" s="68"/>
      <c r="L10" s="67"/>
      <c r="M10" s="55"/>
      <c r="N10" s="56"/>
      <c r="O10" s="68"/>
      <c r="P10" s="67"/>
      <c r="Q10" s="55"/>
      <c r="R10" s="58"/>
      <c r="S10" s="78"/>
    </row>
    <row r="11" spans="1:20" ht="15" customHeight="1">
      <c r="A11" s="62">
        <v>40589</v>
      </c>
      <c r="B11" s="135"/>
      <c r="C11" s="65"/>
      <c r="D11" s="67"/>
      <c r="E11" s="55"/>
      <c r="F11" s="56"/>
      <c r="G11" s="68"/>
      <c r="H11" s="73"/>
      <c r="I11" s="57"/>
      <c r="J11" s="58"/>
      <c r="K11" s="68"/>
      <c r="L11" s="67"/>
      <c r="M11" s="55"/>
      <c r="N11" s="56"/>
      <c r="O11" s="68"/>
      <c r="P11" s="67"/>
      <c r="Q11" s="55"/>
      <c r="R11" s="58"/>
      <c r="S11" s="78"/>
    </row>
    <row r="12" spans="1:20" ht="15" customHeight="1">
      <c r="A12" s="62">
        <v>40648</v>
      </c>
      <c r="B12" s="135"/>
      <c r="C12" s="65"/>
      <c r="D12" s="67"/>
      <c r="E12" s="55"/>
      <c r="F12" s="56"/>
      <c r="G12" s="68"/>
      <c r="H12" s="73"/>
      <c r="I12" s="57"/>
      <c r="J12" s="58"/>
      <c r="K12" s="68"/>
      <c r="L12" s="67"/>
      <c r="M12" s="55"/>
      <c r="N12" s="56"/>
      <c r="O12" s="68"/>
      <c r="P12" s="67"/>
      <c r="Q12" s="55"/>
      <c r="R12" s="58"/>
      <c r="S12" s="78"/>
    </row>
    <row r="13" spans="1:20" ht="15" customHeight="1" thickBot="1">
      <c r="A13" s="62">
        <v>40678</v>
      </c>
      <c r="B13" s="136"/>
      <c r="C13" s="66"/>
      <c r="D13" s="69"/>
      <c r="E13" s="70"/>
      <c r="F13" s="71"/>
      <c r="G13" s="72"/>
      <c r="H13" s="74"/>
      <c r="I13" s="75"/>
      <c r="J13" s="79"/>
      <c r="K13" s="72"/>
      <c r="L13" s="69"/>
      <c r="M13" s="70"/>
      <c r="N13" s="71"/>
      <c r="O13" s="72"/>
      <c r="P13" s="69"/>
      <c r="Q13" s="70"/>
      <c r="R13" s="79"/>
      <c r="S13" s="80"/>
    </row>
    <row r="14" spans="1:20" ht="12" customHeight="1" thickBot="1">
      <c r="A14" s="125"/>
      <c r="B14" s="126"/>
      <c r="C14" s="127"/>
      <c r="D14" s="128"/>
      <c r="E14" s="128"/>
      <c r="F14" s="129"/>
      <c r="G14" s="128"/>
      <c r="H14" s="130"/>
      <c r="I14" s="130"/>
      <c r="J14" s="130"/>
      <c r="K14" s="128"/>
      <c r="L14" s="128"/>
      <c r="M14" s="128"/>
      <c r="N14" s="129"/>
      <c r="O14" s="128"/>
      <c r="P14" s="128"/>
      <c r="Q14" s="128"/>
      <c r="R14" s="131"/>
      <c r="S14" s="130"/>
    </row>
    <row r="15" spans="1:20" ht="10.5" customHeight="1" thickTop="1">
      <c r="A15" s="38"/>
      <c r="B15" s="38"/>
      <c r="C15" s="36"/>
      <c r="D15" s="36"/>
      <c r="E15" s="36"/>
      <c r="F15" s="36"/>
      <c r="G15" s="36"/>
      <c r="H15" s="36"/>
      <c r="I15" s="36"/>
      <c r="J15" s="36"/>
      <c r="K15" s="36"/>
    </row>
    <row r="16" spans="1:20" ht="15" customHeight="1">
      <c r="C16" s="28" t="s">
        <v>40</v>
      </c>
      <c r="D16" s="28" t="s">
        <v>41</v>
      </c>
      <c r="E16" s="28" t="s">
        <v>50</v>
      </c>
      <c r="H16" s="39"/>
      <c r="I16" s="42" t="s">
        <v>45</v>
      </c>
      <c r="J16" s="39"/>
      <c r="K16" s="42" t="s">
        <v>79</v>
      </c>
      <c r="L16" s="42"/>
      <c r="N16" s="166" t="s">
        <v>51</v>
      </c>
      <c r="O16" s="166"/>
      <c r="P16" s="167" t="s">
        <v>80</v>
      </c>
      <c r="Q16" s="167"/>
      <c r="R16" s="168" t="s">
        <v>83</v>
      </c>
      <c r="S16" s="168"/>
    </row>
    <row r="17" spans="1:19" ht="15" customHeight="1">
      <c r="A17" s="177" t="s">
        <v>54</v>
      </c>
      <c r="B17" s="177"/>
      <c r="C17" s="59">
        <f t="shared" ref="C17:D20" si="0">B10</f>
        <v>0</v>
      </c>
      <c r="D17" s="51">
        <f t="shared" si="0"/>
        <v>0</v>
      </c>
      <c r="E17" s="181">
        <f>C17*D17</f>
        <v>0</v>
      </c>
      <c r="F17" s="181"/>
      <c r="G17" s="31"/>
      <c r="H17" s="28" t="s">
        <v>42</v>
      </c>
      <c r="I17" s="57"/>
      <c r="J17" s="46" t="s">
        <v>52</v>
      </c>
      <c r="K17" s="51"/>
      <c r="L17" s="46" t="s">
        <v>53</v>
      </c>
      <c r="M17" s="51"/>
      <c r="N17" s="169">
        <f t="shared" ref="N17" si="1">M17-K17</f>
        <v>0</v>
      </c>
      <c r="O17" s="170"/>
      <c r="P17" s="171"/>
      <c r="Q17" s="172"/>
      <c r="R17" s="171">
        <f>N17*P17</f>
        <v>0</v>
      </c>
      <c r="S17" s="172"/>
    </row>
    <row r="18" spans="1:19" ht="15" customHeight="1">
      <c r="A18" s="177" t="s">
        <v>54</v>
      </c>
      <c r="B18" s="177"/>
      <c r="C18" s="59">
        <f t="shared" si="0"/>
        <v>0</v>
      </c>
      <c r="D18" s="51">
        <f t="shared" si="0"/>
        <v>0</v>
      </c>
      <c r="E18" s="181">
        <f t="shared" ref="E18:E20" si="2">C18*D18</f>
        <v>0</v>
      </c>
      <c r="F18" s="181"/>
      <c r="G18" s="31"/>
      <c r="I18" s="57"/>
      <c r="J18" s="46" t="s">
        <v>52</v>
      </c>
      <c r="K18" s="51"/>
      <c r="L18" s="46" t="s">
        <v>53</v>
      </c>
      <c r="M18" s="51"/>
      <c r="N18" s="169">
        <f t="shared" ref="N18:N24" si="3">M18-K18</f>
        <v>0</v>
      </c>
      <c r="O18" s="170"/>
      <c r="P18" s="171"/>
      <c r="Q18" s="172"/>
      <c r="R18" s="171">
        <f t="shared" ref="R18:R24" si="4">N18*P18</f>
        <v>0</v>
      </c>
      <c r="S18" s="172"/>
    </row>
    <row r="19" spans="1:19" ht="15" customHeight="1">
      <c r="A19" s="177" t="s">
        <v>54</v>
      </c>
      <c r="B19" s="177"/>
      <c r="C19" s="59">
        <f t="shared" si="0"/>
        <v>0</v>
      </c>
      <c r="D19" s="51">
        <f t="shared" si="0"/>
        <v>0</v>
      </c>
      <c r="E19" s="181">
        <f t="shared" si="2"/>
        <v>0</v>
      </c>
      <c r="F19" s="181"/>
      <c r="G19" s="31"/>
      <c r="I19" s="57"/>
      <c r="J19" s="46" t="s">
        <v>52</v>
      </c>
      <c r="K19" s="51"/>
      <c r="L19" s="46" t="s">
        <v>53</v>
      </c>
      <c r="M19" s="51"/>
      <c r="N19" s="169">
        <f t="shared" si="3"/>
        <v>0</v>
      </c>
      <c r="O19" s="170"/>
      <c r="P19" s="171"/>
      <c r="Q19" s="172"/>
      <c r="R19" s="171">
        <f t="shared" si="4"/>
        <v>0</v>
      </c>
      <c r="S19" s="172"/>
    </row>
    <row r="20" spans="1:19" ht="15" customHeight="1">
      <c r="A20" s="177" t="s">
        <v>54</v>
      </c>
      <c r="B20" s="177"/>
      <c r="C20" s="59">
        <f t="shared" si="0"/>
        <v>0</v>
      </c>
      <c r="D20" s="51">
        <f t="shared" si="0"/>
        <v>0</v>
      </c>
      <c r="E20" s="181">
        <f t="shared" si="2"/>
        <v>0</v>
      </c>
      <c r="F20" s="181"/>
      <c r="G20" s="31"/>
      <c r="I20" s="57"/>
      <c r="J20" s="46" t="s">
        <v>52</v>
      </c>
      <c r="K20" s="51"/>
      <c r="L20" s="46" t="s">
        <v>53</v>
      </c>
      <c r="M20" s="51"/>
      <c r="N20" s="169">
        <f t="shared" si="3"/>
        <v>0</v>
      </c>
      <c r="O20" s="170"/>
      <c r="P20" s="171"/>
      <c r="Q20" s="172"/>
      <c r="R20" s="171">
        <f t="shared" si="4"/>
        <v>0</v>
      </c>
      <c r="S20" s="172"/>
    </row>
    <row r="21" spans="1:19" ht="15" customHeight="1">
      <c r="A21" s="177" t="s">
        <v>55</v>
      </c>
      <c r="B21" s="177"/>
      <c r="C21" s="59">
        <f>C5-(C17+C18+C19+C20)</f>
        <v>20000</v>
      </c>
      <c r="D21" s="51"/>
      <c r="E21" s="181">
        <f>C21*D21</f>
        <v>0</v>
      </c>
      <c r="F21" s="181"/>
      <c r="G21" s="31"/>
      <c r="I21" s="57"/>
      <c r="J21" s="46" t="s">
        <v>52</v>
      </c>
      <c r="K21" s="51"/>
      <c r="L21" s="46" t="s">
        <v>53</v>
      </c>
      <c r="M21" s="51"/>
      <c r="N21" s="169">
        <f t="shared" si="3"/>
        <v>0</v>
      </c>
      <c r="O21" s="170"/>
      <c r="P21" s="171"/>
      <c r="Q21" s="172"/>
      <c r="R21" s="171">
        <f t="shared" si="4"/>
        <v>0</v>
      </c>
      <c r="S21" s="172"/>
    </row>
    <row r="22" spans="1:19" ht="15" customHeight="1">
      <c r="A22" s="45" t="s">
        <v>84</v>
      </c>
      <c r="B22" s="60"/>
      <c r="C22" s="59">
        <f>SUM(C17:C21)</f>
        <v>20000</v>
      </c>
      <c r="D22" s="51"/>
      <c r="E22" s="183">
        <f>SUM(E17:F21)</f>
        <v>0</v>
      </c>
      <c r="F22" s="183"/>
      <c r="G22" s="31"/>
      <c r="I22" s="57"/>
      <c r="J22" s="46" t="s">
        <v>52</v>
      </c>
      <c r="K22" s="51"/>
      <c r="L22" s="46" t="s">
        <v>53</v>
      </c>
      <c r="M22" s="51"/>
      <c r="N22" s="169">
        <f t="shared" si="3"/>
        <v>0</v>
      </c>
      <c r="O22" s="170"/>
      <c r="P22" s="171"/>
      <c r="Q22" s="172"/>
      <c r="R22" s="171">
        <f t="shared" si="4"/>
        <v>0</v>
      </c>
      <c r="S22" s="172"/>
    </row>
    <row r="23" spans="1:19" ht="15" customHeight="1">
      <c r="E23" s="182"/>
      <c r="F23" s="182"/>
      <c r="I23" s="57"/>
      <c r="J23" s="46" t="s">
        <v>52</v>
      </c>
      <c r="K23" s="51"/>
      <c r="L23" s="46" t="s">
        <v>53</v>
      </c>
      <c r="M23" s="51"/>
      <c r="N23" s="169">
        <f t="shared" si="3"/>
        <v>0</v>
      </c>
      <c r="O23" s="170"/>
      <c r="P23" s="171"/>
      <c r="Q23" s="172"/>
      <c r="R23" s="171">
        <f t="shared" si="4"/>
        <v>0</v>
      </c>
      <c r="S23" s="172"/>
    </row>
    <row r="24" spans="1:19" ht="15" customHeight="1">
      <c r="A24" s="28" t="s">
        <v>56</v>
      </c>
      <c r="E24" s="180">
        <f>R25</f>
        <v>0</v>
      </c>
      <c r="F24" s="180"/>
      <c r="I24" s="57"/>
      <c r="J24" s="46" t="s">
        <v>52</v>
      </c>
      <c r="K24" s="51"/>
      <c r="L24" s="46" t="s">
        <v>53</v>
      </c>
      <c r="M24" s="51"/>
      <c r="N24" s="169">
        <f t="shared" si="3"/>
        <v>0</v>
      </c>
      <c r="O24" s="170"/>
      <c r="P24" s="171"/>
      <c r="Q24" s="172"/>
      <c r="R24" s="171">
        <f t="shared" si="4"/>
        <v>0</v>
      </c>
      <c r="S24" s="172"/>
    </row>
    <row r="25" spans="1:19" ht="15" customHeight="1">
      <c r="A25" s="28" t="s">
        <v>57</v>
      </c>
      <c r="E25" s="180">
        <f>R36</f>
        <v>0</v>
      </c>
      <c r="F25" s="180"/>
      <c r="G25" s="32"/>
      <c r="I25" s="164" t="s">
        <v>5</v>
      </c>
      <c r="J25" s="165"/>
      <c r="K25" s="165"/>
      <c r="L25" s="165"/>
      <c r="M25" s="165"/>
      <c r="N25" s="165"/>
      <c r="O25" s="165"/>
      <c r="P25" s="165"/>
      <c r="Q25" s="163"/>
      <c r="R25" s="162">
        <f>SUM(R17:S24)</f>
        <v>0</v>
      </c>
      <c r="S25" s="163"/>
    </row>
    <row r="26" spans="1:19" ht="15" customHeight="1">
      <c r="A26" s="28" t="s">
        <v>156</v>
      </c>
      <c r="E26" s="181">
        <f>SUM(E24:E25)</f>
        <v>0</v>
      </c>
      <c r="F26" s="181"/>
      <c r="G26" s="32"/>
      <c r="J26" s="39"/>
      <c r="K26" s="42"/>
      <c r="L26" s="39"/>
      <c r="M26" s="42"/>
      <c r="N26" s="42"/>
      <c r="P26" s="34"/>
      <c r="Q26" s="31"/>
    </row>
    <row r="27" spans="1:19" ht="15" customHeight="1">
      <c r="E27" s="40"/>
      <c r="F27" s="40"/>
      <c r="G27" s="32"/>
      <c r="I27" s="42" t="s">
        <v>45</v>
      </c>
      <c r="J27" s="39"/>
      <c r="K27" s="42" t="s">
        <v>79</v>
      </c>
      <c r="L27" s="42"/>
      <c r="N27" s="166" t="s">
        <v>51</v>
      </c>
      <c r="O27" s="166"/>
      <c r="P27" s="167" t="s">
        <v>80</v>
      </c>
      <c r="Q27" s="167"/>
      <c r="R27" s="168" t="s">
        <v>83</v>
      </c>
      <c r="S27" s="168"/>
    </row>
    <row r="28" spans="1:19" ht="15" customHeight="1">
      <c r="A28" s="28" t="s">
        <v>38</v>
      </c>
      <c r="E28" s="186">
        <v>0</v>
      </c>
      <c r="F28" s="186"/>
      <c r="G28" s="32"/>
      <c r="H28" s="28" t="s">
        <v>46</v>
      </c>
      <c r="I28" s="57"/>
      <c r="J28" s="46" t="s">
        <v>52</v>
      </c>
      <c r="K28" s="51"/>
      <c r="L28" s="46" t="s">
        <v>53</v>
      </c>
      <c r="M28" s="51"/>
      <c r="N28" s="169">
        <f t="shared" ref="N28:N31" si="5">M28-K28</f>
        <v>0</v>
      </c>
      <c r="O28" s="170">
        <v>5000</v>
      </c>
      <c r="P28" s="171"/>
      <c r="Q28" s="172"/>
      <c r="R28" s="171">
        <f>N28*P28</f>
        <v>0</v>
      </c>
      <c r="S28" s="172"/>
    </row>
    <row r="29" spans="1:19" ht="15" customHeight="1">
      <c r="E29" s="41"/>
      <c r="F29" s="41"/>
      <c r="G29" s="32"/>
      <c r="I29" s="57"/>
      <c r="J29" s="46" t="s">
        <v>52</v>
      </c>
      <c r="K29" s="51"/>
      <c r="L29" s="46" t="s">
        <v>53</v>
      </c>
      <c r="M29" s="51"/>
      <c r="N29" s="169">
        <f t="shared" si="5"/>
        <v>0</v>
      </c>
      <c r="O29" s="170">
        <v>5000</v>
      </c>
      <c r="P29" s="171"/>
      <c r="Q29" s="172"/>
      <c r="R29" s="171">
        <f t="shared" ref="R29:R35" si="6">N29*P29</f>
        <v>0</v>
      </c>
      <c r="S29" s="172"/>
    </row>
    <row r="30" spans="1:19" ht="15" customHeight="1">
      <c r="A30" s="28" t="s">
        <v>197</v>
      </c>
      <c r="E30" s="181">
        <f>E22+E26+E28</f>
        <v>0</v>
      </c>
      <c r="F30" s="181"/>
      <c r="G30" s="31"/>
      <c r="I30" s="57"/>
      <c r="J30" s="46" t="s">
        <v>52</v>
      </c>
      <c r="K30" s="51"/>
      <c r="L30" s="46" t="s">
        <v>53</v>
      </c>
      <c r="M30" s="51"/>
      <c r="N30" s="169">
        <f t="shared" ref="N30" si="7">M30-K30</f>
        <v>0</v>
      </c>
      <c r="O30" s="170"/>
      <c r="P30" s="171"/>
      <c r="Q30" s="172"/>
      <c r="R30" s="171">
        <f t="shared" si="6"/>
        <v>0</v>
      </c>
      <c r="S30" s="172"/>
    </row>
    <row r="31" spans="1:19" ht="15" customHeight="1">
      <c r="A31" s="28" t="s">
        <v>59</v>
      </c>
      <c r="E31" s="189">
        <f>E30/C5</f>
        <v>0</v>
      </c>
      <c r="F31" s="189"/>
      <c r="I31" s="57"/>
      <c r="J31" s="46" t="s">
        <v>52</v>
      </c>
      <c r="K31" s="51"/>
      <c r="L31" s="46" t="s">
        <v>53</v>
      </c>
      <c r="M31" s="51"/>
      <c r="N31" s="169">
        <f t="shared" si="5"/>
        <v>0</v>
      </c>
      <c r="O31" s="170"/>
      <c r="P31" s="171"/>
      <c r="Q31" s="172"/>
      <c r="R31" s="171">
        <f t="shared" si="6"/>
        <v>0</v>
      </c>
      <c r="S31" s="172"/>
    </row>
    <row r="32" spans="1:19" ht="15" customHeight="1">
      <c r="E32" s="187"/>
      <c r="F32" s="187"/>
      <c r="G32" s="33"/>
      <c r="I32" s="57"/>
      <c r="J32" s="46" t="s">
        <v>52</v>
      </c>
      <c r="K32" s="51"/>
      <c r="L32" s="46" t="s">
        <v>53</v>
      </c>
      <c r="M32" s="51"/>
      <c r="N32" s="169">
        <f>M32-K32</f>
        <v>0</v>
      </c>
      <c r="O32" s="170"/>
      <c r="P32" s="171"/>
      <c r="Q32" s="172"/>
      <c r="R32" s="171">
        <f t="shared" si="6"/>
        <v>0</v>
      </c>
      <c r="S32" s="172"/>
    </row>
    <row r="33" spans="1:19" ht="15" customHeight="1">
      <c r="A33" s="28" t="s">
        <v>85</v>
      </c>
      <c r="E33" s="183">
        <f>C3*K4</f>
        <v>157000</v>
      </c>
      <c r="F33" s="183"/>
      <c r="G33" s="32"/>
      <c r="I33" s="57"/>
      <c r="J33" s="46" t="s">
        <v>52</v>
      </c>
      <c r="K33" s="51"/>
      <c r="L33" s="46" t="s">
        <v>53</v>
      </c>
      <c r="M33" s="51"/>
      <c r="N33" s="169">
        <f t="shared" ref="N33" si="8">M33-K33</f>
        <v>0</v>
      </c>
      <c r="O33" s="170"/>
      <c r="P33" s="171"/>
      <c r="Q33" s="172"/>
      <c r="R33" s="171">
        <f t="shared" si="6"/>
        <v>0</v>
      </c>
      <c r="S33" s="172"/>
    </row>
    <row r="34" spans="1:19" ht="15" customHeight="1">
      <c r="A34" s="28" t="s">
        <v>157</v>
      </c>
      <c r="E34" s="188">
        <f>E33/C5</f>
        <v>7.85</v>
      </c>
      <c r="F34" s="188"/>
      <c r="G34" s="34"/>
      <c r="I34" s="57"/>
      <c r="J34" s="46" t="s">
        <v>52</v>
      </c>
      <c r="K34" s="51"/>
      <c r="L34" s="46" t="s">
        <v>53</v>
      </c>
      <c r="M34" s="51"/>
      <c r="N34" s="169">
        <f t="shared" ref="N34" si="9">M34-K34</f>
        <v>0</v>
      </c>
      <c r="O34" s="170"/>
      <c r="P34" s="171"/>
      <c r="Q34" s="172"/>
      <c r="R34" s="171">
        <f t="shared" si="6"/>
        <v>0</v>
      </c>
      <c r="S34" s="172"/>
    </row>
    <row r="35" spans="1:19" ht="15" customHeight="1" thickBot="1">
      <c r="G35" s="35"/>
      <c r="I35" s="57"/>
      <c r="J35" s="46" t="s">
        <v>52</v>
      </c>
      <c r="K35" s="51"/>
      <c r="L35" s="46" t="s">
        <v>53</v>
      </c>
      <c r="M35" s="51"/>
      <c r="N35" s="169">
        <f>M35-K35</f>
        <v>0</v>
      </c>
      <c r="O35" s="170"/>
      <c r="P35" s="171"/>
      <c r="Q35" s="172"/>
      <c r="R35" s="171">
        <f t="shared" si="6"/>
        <v>0</v>
      </c>
      <c r="S35" s="172"/>
    </row>
    <row r="36" spans="1:19" ht="15" customHeight="1" thickBot="1">
      <c r="A36" s="28" t="s">
        <v>90</v>
      </c>
      <c r="E36" s="184">
        <f>E30-E33</f>
        <v>-157000</v>
      </c>
      <c r="F36" s="185"/>
      <c r="I36" s="164" t="s">
        <v>5</v>
      </c>
      <c r="J36" s="165"/>
      <c r="K36" s="165"/>
      <c r="L36" s="165"/>
      <c r="M36" s="165"/>
      <c r="N36" s="165"/>
      <c r="O36" s="165"/>
      <c r="P36" s="165"/>
      <c r="Q36" s="163"/>
      <c r="R36" s="162">
        <f>SUM(R28:S35)</f>
        <v>0</v>
      </c>
      <c r="S36" s="163"/>
    </row>
    <row r="37" spans="1:19" ht="15" customHeight="1">
      <c r="G37" s="27"/>
      <c r="H37" s="29"/>
      <c r="J37" s="42"/>
      <c r="K37" s="42"/>
      <c r="L37" s="81"/>
      <c r="M37" s="42"/>
    </row>
    <row r="38" spans="1:19" ht="15" customHeight="1">
      <c r="I38" s="27"/>
      <c r="J38" s="29"/>
      <c r="K38" s="29"/>
      <c r="L38" s="30"/>
      <c r="M38" s="29"/>
    </row>
    <row r="40" spans="1:19" ht="15" customHeight="1">
      <c r="G40" s="27"/>
    </row>
    <row r="41" spans="1:19" ht="15" customHeight="1">
      <c r="G41" s="27"/>
    </row>
  </sheetData>
  <mergeCells count="89">
    <mergeCell ref="E36:F36"/>
    <mergeCell ref="E28:F28"/>
    <mergeCell ref="E30:F30"/>
    <mergeCell ref="E32:F32"/>
    <mergeCell ref="E34:F34"/>
    <mergeCell ref="E31:F31"/>
    <mergeCell ref="E33:F33"/>
    <mergeCell ref="A1:B1"/>
    <mergeCell ref="B8:C8"/>
    <mergeCell ref="E25:F25"/>
    <mergeCell ref="E24:F24"/>
    <mergeCell ref="E26:F26"/>
    <mergeCell ref="E23:F23"/>
    <mergeCell ref="E21:F21"/>
    <mergeCell ref="D8:F8"/>
    <mergeCell ref="E22:F22"/>
    <mergeCell ref="A21:B21"/>
    <mergeCell ref="E17:F17"/>
    <mergeCell ref="E18:F18"/>
    <mergeCell ref="E19:F19"/>
    <mergeCell ref="E20:F20"/>
    <mergeCell ref="A17:B17"/>
    <mergeCell ref="A18:B18"/>
    <mergeCell ref="N32:O32"/>
    <mergeCell ref="P8:R8"/>
    <mergeCell ref="A3:B3"/>
    <mergeCell ref="A4:B4"/>
    <mergeCell ref="A5:B5"/>
    <mergeCell ref="H8:J8"/>
    <mergeCell ref="L8:N8"/>
    <mergeCell ref="N16:O16"/>
    <mergeCell ref="P16:Q16"/>
    <mergeCell ref="A19:B19"/>
    <mergeCell ref="A20:B20"/>
    <mergeCell ref="N22:O22"/>
    <mergeCell ref="N23:O23"/>
    <mergeCell ref="N24:O24"/>
    <mergeCell ref="P17:Q17"/>
    <mergeCell ref="P18:Q18"/>
    <mergeCell ref="N17:O17"/>
    <mergeCell ref="N18:O18"/>
    <mergeCell ref="N19:O19"/>
    <mergeCell ref="N20:O20"/>
    <mergeCell ref="N21:O21"/>
    <mergeCell ref="R16:S16"/>
    <mergeCell ref="P19:Q19"/>
    <mergeCell ref="P20:Q20"/>
    <mergeCell ref="P21:Q21"/>
    <mergeCell ref="P22:Q22"/>
    <mergeCell ref="R17:S17"/>
    <mergeCell ref="R18:S18"/>
    <mergeCell ref="R19:S19"/>
    <mergeCell ref="R20:S20"/>
    <mergeCell ref="R21:S21"/>
    <mergeCell ref="R22:S22"/>
    <mergeCell ref="R23:S23"/>
    <mergeCell ref="R24:S24"/>
    <mergeCell ref="N28:O28"/>
    <mergeCell ref="P28:Q28"/>
    <mergeCell ref="R28:S28"/>
    <mergeCell ref="R25:S25"/>
    <mergeCell ref="I25:Q25"/>
    <mergeCell ref="P23:Q23"/>
    <mergeCell ref="P24:Q24"/>
    <mergeCell ref="R29:S29"/>
    <mergeCell ref="N30:O30"/>
    <mergeCell ref="P30:Q30"/>
    <mergeCell ref="R30:S30"/>
    <mergeCell ref="N31:O31"/>
    <mergeCell ref="P31:Q31"/>
    <mergeCell ref="R31:S31"/>
    <mergeCell ref="N29:O29"/>
    <mergeCell ref="P29:Q29"/>
    <mergeCell ref="R36:S36"/>
    <mergeCell ref="I36:Q36"/>
    <mergeCell ref="N27:O27"/>
    <mergeCell ref="P27:Q27"/>
    <mergeCell ref="R27:S27"/>
    <mergeCell ref="N34:O34"/>
    <mergeCell ref="P34:Q34"/>
    <mergeCell ref="R34:S34"/>
    <mergeCell ref="N35:O35"/>
    <mergeCell ref="P35:Q35"/>
    <mergeCell ref="R35:S35"/>
    <mergeCell ref="P32:Q32"/>
    <mergeCell ref="R32:S32"/>
    <mergeCell ref="N33:O33"/>
    <mergeCell ref="P33:Q33"/>
    <mergeCell ref="R33:S33"/>
  </mergeCells>
  <pageMargins left="0.25" right="0.25" top="0.75" bottom="0.75" header="0.3" footer="0.3"/>
  <pageSetup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workbookViewId="0">
      <selection activeCell="Q31" sqref="Q31"/>
    </sheetView>
  </sheetViews>
  <sheetFormatPr defaultRowHeight="12.75"/>
  <cols>
    <col min="1" max="1" width="7.42578125" customWidth="1"/>
    <col min="3" max="3" width="12.7109375" customWidth="1"/>
    <col min="4" max="4" width="15.140625" customWidth="1"/>
    <col min="5" max="5" width="9.28515625" customWidth="1"/>
    <col min="6" max="6" width="14.42578125" customWidth="1"/>
    <col min="7" max="7" width="9.28515625" bestFit="1" customWidth="1"/>
    <col min="8" max="8" width="10.85546875" customWidth="1"/>
    <col min="9" max="9" width="6.85546875" customWidth="1"/>
    <col min="10" max="10" width="12.85546875" customWidth="1"/>
    <col min="11" max="11" width="14.85546875" customWidth="1"/>
    <col min="12" max="12" width="9.28515625" bestFit="1" customWidth="1"/>
    <col min="13" max="13" width="12.85546875" bestFit="1" customWidth="1"/>
  </cols>
  <sheetData>
    <row r="1" spans="1:13">
      <c r="A1" s="17" t="s">
        <v>160</v>
      </c>
      <c r="H1" t="s">
        <v>159</v>
      </c>
    </row>
    <row r="2" spans="1:13">
      <c r="C2" t="s">
        <v>60</v>
      </c>
      <c r="D2" t="s">
        <v>61</v>
      </c>
      <c r="E2" t="s">
        <v>150</v>
      </c>
      <c r="F2" t="s">
        <v>149</v>
      </c>
      <c r="H2" t="s">
        <v>147</v>
      </c>
      <c r="I2" t="s">
        <v>148</v>
      </c>
      <c r="J2" t="s">
        <v>60</v>
      </c>
      <c r="K2" t="s">
        <v>61</v>
      </c>
      <c r="L2" t="s">
        <v>150</v>
      </c>
      <c r="M2" t="s">
        <v>149</v>
      </c>
    </row>
    <row r="3" spans="1:13">
      <c r="A3" s="17" t="s">
        <v>73</v>
      </c>
      <c r="B3">
        <v>1980</v>
      </c>
      <c r="C3">
        <v>69000</v>
      </c>
      <c r="D3">
        <v>52400</v>
      </c>
      <c r="E3" s="132">
        <f>F3/D3</f>
        <v>15.706106870229007</v>
      </c>
      <c r="F3">
        <v>823000</v>
      </c>
      <c r="H3" t="s">
        <v>36</v>
      </c>
      <c r="I3">
        <v>1980</v>
      </c>
      <c r="J3" s="22">
        <v>56000</v>
      </c>
      <c r="K3" s="22">
        <v>48000</v>
      </c>
      <c r="L3" s="132">
        <v>83.3</v>
      </c>
      <c r="M3" s="22">
        <v>4000000</v>
      </c>
    </row>
    <row r="4" spans="1:13">
      <c r="A4" s="17" t="s">
        <v>73</v>
      </c>
      <c r="B4">
        <v>1981</v>
      </c>
      <c r="C4">
        <v>95200</v>
      </c>
      <c r="D4">
        <v>91600</v>
      </c>
      <c r="E4" s="132">
        <f t="shared" ref="E4:E31" si="0">F4/D4</f>
        <v>22.216157205240176</v>
      </c>
      <c r="F4">
        <v>2035000</v>
      </c>
      <c r="H4" t="s">
        <v>36</v>
      </c>
      <c r="I4">
        <v>1981</v>
      </c>
      <c r="J4" s="22">
        <v>62000</v>
      </c>
      <c r="K4" s="22">
        <v>57100</v>
      </c>
      <c r="L4" s="132">
        <v>113.7</v>
      </c>
      <c r="M4" s="22">
        <v>6496000</v>
      </c>
    </row>
    <row r="5" spans="1:13">
      <c r="A5" s="17" t="s">
        <v>73</v>
      </c>
      <c r="B5">
        <v>1982</v>
      </c>
      <c r="C5">
        <v>94500</v>
      </c>
      <c r="D5">
        <v>71300</v>
      </c>
      <c r="E5" s="132">
        <f t="shared" si="0"/>
        <v>18.106591865357643</v>
      </c>
      <c r="F5">
        <v>1291000</v>
      </c>
      <c r="H5" t="s">
        <v>36</v>
      </c>
      <c r="I5">
        <v>1982</v>
      </c>
      <c r="J5" s="22">
        <v>57000</v>
      </c>
      <c r="K5" s="22">
        <v>51100</v>
      </c>
      <c r="L5" s="132">
        <v>89.5</v>
      </c>
      <c r="M5" s="22">
        <v>4574000</v>
      </c>
    </row>
    <row r="6" spans="1:13">
      <c r="A6" s="17" t="s">
        <v>73</v>
      </c>
      <c r="B6">
        <v>1983</v>
      </c>
      <c r="C6">
        <v>113900</v>
      </c>
      <c r="D6">
        <v>72400</v>
      </c>
      <c r="E6" s="132">
        <f t="shared" si="0"/>
        <v>18.356353591160222</v>
      </c>
      <c r="F6">
        <v>1329000</v>
      </c>
      <c r="H6" t="s">
        <v>36</v>
      </c>
      <c r="I6">
        <v>1983</v>
      </c>
      <c r="J6" s="22">
        <v>43000</v>
      </c>
      <c r="K6" s="22">
        <v>31900</v>
      </c>
      <c r="L6" s="132">
        <v>28.1</v>
      </c>
      <c r="M6" s="22">
        <v>896000</v>
      </c>
    </row>
    <row r="7" spans="1:13">
      <c r="A7" s="17" t="s">
        <v>73</v>
      </c>
      <c r="B7">
        <v>1984</v>
      </c>
      <c r="C7">
        <v>127400</v>
      </c>
      <c r="D7">
        <v>70900</v>
      </c>
      <c r="E7" s="132">
        <f t="shared" si="0"/>
        <v>16.657263751763047</v>
      </c>
      <c r="F7">
        <v>1181000</v>
      </c>
      <c r="H7" t="s">
        <v>36</v>
      </c>
      <c r="I7">
        <v>1984</v>
      </c>
      <c r="J7" s="22">
        <v>58000</v>
      </c>
      <c r="K7" s="22">
        <v>52400</v>
      </c>
      <c r="L7" s="132">
        <v>84.2</v>
      </c>
      <c r="M7" s="22">
        <v>4410000</v>
      </c>
    </row>
    <row r="8" spans="1:13">
      <c r="A8" s="17" t="s">
        <v>73</v>
      </c>
      <c r="B8">
        <v>1985</v>
      </c>
      <c r="C8">
        <v>119000</v>
      </c>
      <c r="D8">
        <v>92100</v>
      </c>
      <c r="E8" s="132">
        <f t="shared" si="0"/>
        <v>20.922909880564603</v>
      </c>
      <c r="F8">
        <v>1927000</v>
      </c>
      <c r="H8" t="s">
        <v>36</v>
      </c>
      <c r="I8">
        <v>1985</v>
      </c>
      <c r="J8" s="22">
        <v>67000</v>
      </c>
      <c r="K8" s="22">
        <v>64700</v>
      </c>
      <c r="L8" s="132">
        <v>120.4</v>
      </c>
      <c r="M8" s="22">
        <v>7790000</v>
      </c>
    </row>
    <row r="9" spans="1:13">
      <c r="A9" s="17" t="s">
        <v>73</v>
      </c>
      <c r="B9">
        <v>1986</v>
      </c>
      <c r="C9">
        <v>118000</v>
      </c>
      <c r="D9">
        <v>68500</v>
      </c>
      <c r="E9" s="132">
        <f t="shared" si="0"/>
        <v>13.372262773722628</v>
      </c>
      <c r="F9">
        <v>916000</v>
      </c>
      <c r="H9" t="s">
        <v>36</v>
      </c>
      <c r="I9">
        <v>1986</v>
      </c>
      <c r="J9" s="22">
        <v>60000</v>
      </c>
      <c r="K9" s="22">
        <v>57800</v>
      </c>
      <c r="L9" s="132">
        <v>117.4</v>
      </c>
      <c r="M9" s="22">
        <v>6786000</v>
      </c>
    </row>
    <row r="10" spans="1:13">
      <c r="A10" s="17" t="s">
        <v>73</v>
      </c>
      <c r="B10">
        <v>1987</v>
      </c>
      <c r="C10">
        <v>109500</v>
      </c>
      <c r="D10">
        <v>82700</v>
      </c>
      <c r="E10" s="132">
        <f t="shared" si="0"/>
        <v>19.226118500604596</v>
      </c>
      <c r="F10">
        <v>1590000</v>
      </c>
      <c r="H10" t="s">
        <v>36</v>
      </c>
      <c r="I10">
        <v>1987</v>
      </c>
      <c r="J10" s="22">
        <v>38000</v>
      </c>
      <c r="K10" s="22">
        <v>36400</v>
      </c>
      <c r="L10" s="132">
        <v>108</v>
      </c>
      <c r="M10" s="22">
        <v>3932000</v>
      </c>
    </row>
    <row r="11" spans="1:13">
      <c r="A11" s="17" t="s">
        <v>73</v>
      </c>
      <c r="B11">
        <v>1988</v>
      </c>
      <c r="C11">
        <v>94300</v>
      </c>
      <c r="D11">
        <v>46000</v>
      </c>
      <c r="E11" s="132">
        <f t="shared" si="0"/>
        <v>19.108695652173914</v>
      </c>
      <c r="F11">
        <v>879000</v>
      </c>
      <c r="H11" t="s">
        <v>36</v>
      </c>
      <c r="I11">
        <v>1988</v>
      </c>
      <c r="J11" s="22">
        <v>37000</v>
      </c>
      <c r="K11" s="22">
        <v>21300</v>
      </c>
      <c r="L11" s="132">
        <v>39.299999999999997</v>
      </c>
      <c r="M11" s="22">
        <v>837000</v>
      </c>
    </row>
    <row r="12" spans="1:13">
      <c r="A12" s="17" t="s">
        <v>73</v>
      </c>
      <c r="B12">
        <v>1989</v>
      </c>
      <c r="C12">
        <v>91200</v>
      </c>
      <c r="D12">
        <v>51600</v>
      </c>
      <c r="E12" s="132">
        <f t="shared" si="0"/>
        <v>14.418604651162791</v>
      </c>
      <c r="F12">
        <v>744000</v>
      </c>
      <c r="H12" t="s">
        <v>36</v>
      </c>
      <c r="I12">
        <v>1989</v>
      </c>
      <c r="J12" s="22">
        <v>36000</v>
      </c>
      <c r="K12" s="22">
        <v>32200</v>
      </c>
      <c r="L12" s="132">
        <v>84.8</v>
      </c>
      <c r="M12" s="22">
        <v>2731000</v>
      </c>
    </row>
    <row r="13" spans="1:13">
      <c r="A13" s="17" t="s">
        <v>73</v>
      </c>
      <c r="B13">
        <v>1990</v>
      </c>
      <c r="C13">
        <v>90500</v>
      </c>
      <c r="D13">
        <v>55500</v>
      </c>
      <c r="E13" s="132">
        <f t="shared" si="0"/>
        <v>21.81981981981982</v>
      </c>
      <c r="F13">
        <v>1211000</v>
      </c>
      <c r="H13" t="s">
        <v>36</v>
      </c>
      <c r="I13">
        <v>1990</v>
      </c>
      <c r="J13" s="22">
        <v>34000</v>
      </c>
      <c r="K13" s="22">
        <v>29700</v>
      </c>
      <c r="L13" s="132">
        <v>97.4</v>
      </c>
      <c r="M13" s="22">
        <v>2893000</v>
      </c>
    </row>
    <row r="14" spans="1:13">
      <c r="A14" s="17" t="s">
        <v>73</v>
      </c>
      <c r="B14">
        <v>1991</v>
      </c>
      <c r="C14">
        <v>79700</v>
      </c>
      <c r="D14">
        <v>52000</v>
      </c>
      <c r="E14" s="132">
        <f t="shared" si="0"/>
        <v>22.615384615384617</v>
      </c>
      <c r="F14">
        <v>1176000</v>
      </c>
      <c r="H14" t="s">
        <v>36</v>
      </c>
      <c r="I14">
        <v>1991</v>
      </c>
      <c r="J14" s="22">
        <v>35000</v>
      </c>
      <c r="K14" s="22">
        <v>32000</v>
      </c>
      <c r="L14" s="132">
        <v>105.7</v>
      </c>
      <c r="M14" s="22">
        <v>3382000</v>
      </c>
    </row>
    <row r="15" spans="1:13">
      <c r="A15" s="17" t="s">
        <v>73</v>
      </c>
      <c r="B15">
        <v>1992</v>
      </c>
      <c r="C15">
        <v>62800</v>
      </c>
      <c r="D15">
        <v>54600</v>
      </c>
      <c r="E15" s="132">
        <f t="shared" si="0"/>
        <v>24.981684981684982</v>
      </c>
      <c r="F15">
        <v>1364000</v>
      </c>
      <c r="H15" t="s">
        <v>36</v>
      </c>
      <c r="I15">
        <v>1992</v>
      </c>
      <c r="J15" s="22">
        <v>36000</v>
      </c>
      <c r="K15" s="22">
        <v>33600</v>
      </c>
      <c r="L15" s="132">
        <v>124.6</v>
      </c>
      <c r="M15" s="22">
        <v>4187000</v>
      </c>
    </row>
    <row r="16" spans="1:13">
      <c r="A16" s="17" t="s">
        <v>73</v>
      </c>
      <c r="B16">
        <v>1993</v>
      </c>
      <c r="C16">
        <v>73700</v>
      </c>
      <c r="D16">
        <v>51100</v>
      </c>
      <c r="E16" s="132">
        <f t="shared" si="0"/>
        <v>18.806262230919764</v>
      </c>
      <c r="F16">
        <v>961000</v>
      </c>
      <c r="H16" t="s">
        <v>36</v>
      </c>
      <c r="I16">
        <v>1993</v>
      </c>
      <c r="J16" s="22">
        <v>31000</v>
      </c>
      <c r="K16" s="22">
        <v>24500</v>
      </c>
      <c r="L16" s="132">
        <v>48.8</v>
      </c>
      <c r="M16" s="22">
        <v>1195000</v>
      </c>
    </row>
    <row r="17" spans="1:13">
      <c r="A17" s="17" t="s">
        <v>73</v>
      </c>
      <c r="B17">
        <v>1994</v>
      </c>
      <c r="C17">
        <v>86600</v>
      </c>
      <c r="D17">
        <v>38200</v>
      </c>
      <c r="E17" s="132">
        <f t="shared" si="0"/>
        <v>13.193717277486911</v>
      </c>
      <c r="F17">
        <v>504000</v>
      </c>
      <c r="H17" t="s">
        <v>36</v>
      </c>
      <c r="I17">
        <v>1994</v>
      </c>
      <c r="J17" s="22">
        <v>34000</v>
      </c>
      <c r="K17" s="22">
        <v>32200</v>
      </c>
      <c r="L17" s="132">
        <v>138.5</v>
      </c>
      <c r="M17" s="22">
        <v>4461000</v>
      </c>
    </row>
    <row r="18" spans="1:13">
      <c r="A18" s="17" t="s">
        <v>73</v>
      </c>
      <c r="B18">
        <v>1995</v>
      </c>
      <c r="C18">
        <v>82800</v>
      </c>
      <c r="D18">
        <v>56600</v>
      </c>
      <c r="E18" s="132">
        <f t="shared" si="0"/>
        <v>26.077738515901061</v>
      </c>
      <c r="F18">
        <v>1476000</v>
      </c>
      <c r="H18" t="s">
        <v>36</v>
      </c>
      <c r="I18">
        <v>1995</v>
      </c>
      <c r="J18" s="22">
        <v>9000</v>
      </c>
      <c r="K18" s="22">
        <v>6400</v>
      </c>
      <c r="L18" s="132">
        <v>68.900000000000006</v>
      </c>
      <c r="M18" s="22">
        <v>441000</v>
      </c>
    </row>
    <row r="19" spans="1:13">
      <c r="A19" s="17" t="s">
        <v>73</v>
      </c>
      <c r="B19">
        <v>1996</v>
      </c>
      <c r="C19">
        <v>89000</v>
      </c>
      <c r="D19">
        <v>41300</v>
      </c>
      <c r="E19" s="132">
        <f t="shared" si="0"/>
        <v>17.142857142857142</v>
      </c>
      <c r="F19">
        <v>708000</v>
      </c>
      <c r="H19" t="s">
        <v>36</v>
      </c>
      <c r="I19">
        <v>1996</v>
      </c>
      <c r="J19" s="22">
        <v>32000</v>
      </c>
      <c r="K19" s="22">
        <v>29900</v>
      </c>
      <c r="L19" s="132">
        <v>131.6</v>
      </c>
      <c r="M19" s="22">
        <v>3935000</v>
      </c>
    </row>
    <row r="20" spans="1:13">
      <c r="A20" s="17" t="s">
        <v>73</v>
      </c>
      <c r="B20">
        <v>1997</v>
      </c>
      <c r="C20">
        <v>80600</v>
      </c>
      <c r="D20">
        <v>52200</v>
      </c>
      <c r="E20" s="132">
        <f t="shared" si="0"/>
        <v>26.360153256704979</v>
      </c>
      <c r="F20">
        <v>1376000</v>
      </c>
      <c r="H20" t="s">
        <v>36</v>
      </c>
      <c r="I20">
        <v>1997</v>
      </c>
      <c r="J20" s="22">
        <v>26900</v>
      </c>
      <c r="K20" s="22">
        <v>25500</v>
      </c>
      <c r="L20" s="132">
        <v>117.1</v>
      </c>
      <c r="M20" s="22">
        <v>2985000</v>
      </c>
    </row>
    <row r="21" spans="1:13">
      <c r="A21" s="17" t="s">
        <v>73</v>
      </c>
      <c r="B21">
        <v>1998</v>
      </c>
      <c r="C21">
        <v>88900</v>
      </c>
      <c r="D21">
        <v>51700</v>
      </c>
      <c r="E21" s="132">
        <f t="shared" si="0"/>
        <v>20.870406189555126</v>
      </c>
      <c r="F21">
        <v>1079000</v>
      </c>
      <c r="H21" t="s">
        <v>36</v>
      </c>
      <c r="I21">
        <v>1998</v>
      </c>
      <c r="J21" s="22">
        <v>25300</v>
      </c>
      <c r="K21" s="22">
        <v>22700</v>
      </c>
      <c r="L21" s="132">
        <v>98.8</v>
      </c>
      <c r="M21" s="22">
        <v>2243000</v>
      </c>
    </row>
    <row r="22" spans="1:13">
      <c r="A22" s="17" t="s">
        <v>73</v>
      </c>
      <c r="B22">
        <v>1999</v>
      </c>
      <c r="C22">
        <v>93000</v>
      </c>
      <c r="D22">
        <v>57100</v>
      </c>
      <c r="E22" s="132">
        <f t="shared" si="0"/>
        <v>24.728546409807354</v>
      </c>
      <c r="F22">
        <v>1412000</v>
      </c>
      <c r="H22" t="s">
        <v>36</v>
      </c>
      <c r="I22">
        <v>1999</v>
      </c>
      <c r="J22" s="22">
        <v>27000</v>
      </c>
      <c r="K22" s="22">
        <v>24000</v>
      </c>
      <c r="L22" s="132">
        <v>113.4</v>
      </c>
      <c r="M22" s="22">
        <v>2721000</v>
      </c>
    </row>
    <row r="23" spans="1:13">
      <c r="A23" s="17" t="s">
        <v>73</v>
      </c>
      <c r="B23">
        <v>2000</v>
      </c>
      <c r="C23">
        <v>121000</v>
      </c>
      <c r="D23">
        <v>4500</v>
      </c>
      <c r="E23" s="132">
        <f t="shared" si="0"/>
        <v>24.444444444444443</v>
      </c>
      <c r="F23">
        <v>110000</v>
      </c>
      <c r="H23" t="s">
        <v>36</v>
      </c>
      <c r="I23">
        <v>2000</v>
      </c>
      <c r="J23" s="22">
        <v>27000</v>
      </c>
      <c r="K23" s="22">
        <v>24700</v>
      </c>
      <c r="L23" s="132">
        <v>148.4</v>
      </c>
      <c r="M23" s="22">
        <v>3666000</v>
      </c>
    </row>
    <row r="24" spans="1:13">
      <c r="A24" s="17" t="s">
        <v>73</v>
      </c>
      <c r="B24">
        <v>2001</v>
      </c>
      <c r="C24">
        <v>100200</v>
      </c>
      <c r="D24">
        <v>77200</v>
      </c>
      <c r="E24" s="132">
        <f t="shared" si="0"/>
        <v>27.940414507772022</v>
      </c>
      <c r="F24">
        <v>2157000</v>
      </c>
      <c r="H24" t="s">
        <v>36</v>
      </c>
      <c r="I24">
        <v>2001</v>
      </c>
      <c r="J24" s="22">
        <v>26000</v>
      </c>
      <c r="K24" s="22">
        <v>24100</v>
      </c>
      <c r="L24" s="161">
        <v>116.6</v>
      </c>
      <c r="M24" s="22">
        <v>2809000</v>
      </c>
    </row>
    <row r="25" spans="1:13">
      <c r="A25" s="17" t="s">
        <v>73</v>
      </c>
      <c r="B25">
        <v>2002</v>
      </c>
      <c r="C25">
        <v>128500</v>
      </c>
      <c r="D25">
        <v>108400</v>
      </c>
      <c r="E25" s="132">
        <f t="shared" si="0"/>
        <v>19.280442804428045</v>
      </c>
      <c r="F25">
        <v>2090000</v>
      </c>
      <c r="H25" t="s">
        <v>36</v>
      </c>
      <c r="I25">
        <v>2002</v>
      </c>
      <c r="J25" s="22">
        <v>28500</v>
      </c>
      <c r="K25" s="22">
        <v>26500</v>
      </c>
      <c r="L25" s="161">
        <v>132.1</v>
      </c>
      <c r="M25" s="22">
        <v>3500000</v>
      </c>
    </row>
    <row r="26" spans="1:13">
      <c r="A26" s="17" t="s">
        <v>73</v>
      </c>
      <c r="B26">
        <v>2003</v>
      </c>
      <c r="C26">
        <v>124200</v>
      </c>
      <c r="D26">
        <v>88100</v>
      </c>
      <c r="E26" s="132">
        <f t="shared" si="0"/>
        <v>17.525539160045405</v>
      </c>
      <c r="F26">
        <v>1544000</v>
      </c>
      <c r="H26" t="s">
        <v>36</v>
      </c>
      <c r="I26">
        <v>2003</v>
      </c>
      <c r="J26" s="22">
        <v>31000</v>
      </c>
      <c r="K26" s="22">
        <v>28500</v>
      </c>
      <c r="L26" s="161">
        <v>128.80000000000001</v>
      </c>
      <c r="M26" s="22">
        <v>3670000</v>
      </c>
    </row>
    <row r="27" spans="1:13">
      <c r="A27" s="17" t="s">
        <v>73</v>
      </c>
      <c r="B27">
        <v>2004</v>
      </c>
      <c r="C27">
        <v>110200</v>
      </c>
      <c r="D27">
        <v>68100</v>
      </c>
      <c r="E27" s="132">
        <f t="shared" si="0"/>
        <v>29.441997063142438</v>
      </c>
      <c r="F27">
        <v>2005000</v>
      </c>
      <c r="H27" t="s">
        <v>36</v>
      </c>
      <c r="I27">
        <v>2004</v>
      </c>
      <c r="J27" s="22">
        <v>33000</v>
      </c>
      <c r="K27" s="22">
        <v>31000</v>
      </c>
      <c r="L27" s="161">
        <v>175.5</v>
      </c>
      <c r="M27" s="22">
        <v>5440000</v>
      </c>
    </row>
    <row r="28" spans="1:13">
      <c r="A28" s="17" t="s">
        <v>73</v>
      </c>
      <c r="B28">
        <v>2005</v>
      </c>
      <c r="C28">
        <v>70200</v>
      </c>
      <c r="D28">
        <v>53200</v>
      </c>
      <c r="E28" s="132">
        <f t="shared" si="0"/>
        <v>25.657894736842106</v>
      </c>
      <c r="F28">
        <v>1365000</v>
      </c>
      <c r="H28" t="s">
        <v>36</v>
      </c>
      <c r="I28">
        <v>2005</v>
      </c>
      <c r="J28" s="22">
        <v>35000</v>
      </c>
      <c r="K28" s="22">
        <v>33000</v>
      </c>
      <c r="L28" s="161">
        <v>163.9</v>
      </c>
      <c r="M28" s="22">
        <v>5408000</v>
      </c>
    </row>
    <row r="29" spans="1:13">
      <c r="A29" s="17" t="s">
        <v>73</v>
      </c>
      <c r="B29">
        <v>2006</v>
      </c>
      <c r="C29">
        <v>94700</v>
      </c>
      <c r="D29">
        <v>29100</v>
      </c>
      <c r="E29" s="132">
        <f t="shared" si="0"/>
        <v>17.903780068728523</v>
      </c>
      <c r="F29">
        <v>521000</v>
      </c>
      <c r="H29" t="s">
        <v>36</v>
      </c>
      <c r="I29">
        <v>2006</v>
      </c>
      <c r="J29" s="22">
        <v>29000</v>
      </c>
      <c r="K29" s="22">
        <v>28800</v>
      </c>
      <c r="L29" s="161">
        <v>157.5</v>
      </c>
      <c r="M29" s="22">
        <v>4535000</v>
      </c>
    </row>
    <row r="30" spans="1:13">
      <c r="A30" s="17" t="s">
        <v>73</v>
      </c>
      <c r="B30">
        <v>2007</v>
      </c>
      <c r="C30">
        <v>108000</v>
      </c>
      <c r="D30">
        <v>76400</v>
      </c>
      <c r="E30" s="132">
        <f t="shared" si="0"/>
        <v>26.138743455497384</v>
      </c>
      <c r="F30">
        <v>1997000</v>
      </c>
      <c r="H30" t="s">
        <v>36</v>
      </c>
      <c r="I30">
        <v>2007</v>
      </c>
      <c r="J30" s="22">
        <v>36500</v>
      </c>
      <c r="K30" s="22">
        <v>36000</v>
      </c>
      <c r="L30" s="161">
        <v>155.5</v>
      </c>
      <c r="M30" s="22">
        <v>5599000</v>
      </c>
    </row>
    <row r="31" spans="1:13">
      <c r="A31" s="17" t="s">
        <v>73</v>
      </c>
      <c r="B31">
        <v>2008</v>
      </c>
      <c r="C31">
        <v>100900</v>
      </c>
      <c r="D31">
        <v>79300</v>
      </c>
      <c r="E31" s="132">
        <f t="shared" si="0"/>
        <v>25.435056746532155</v>
      </c>
      <c r="F31">
        <v>2017000</v>
      </c>
      <c r="H31" t="s">
        <v>36</v>
      </c>
      <c r="I31">
        <v>2008</v>
      </c>
      <c r="J31" s="22">
        <v>30000</v>
      </c>
      <c r="K31" s="22">
        <v>28500</v>
      </c>
      <c r="L31" s="161">
        <v>112</v>
      </c>
      <c r="M31" s="22">
        <v>3200000</v>
      </c>
    </row>
    <row r="32" spans="1:13">
      <c r="A32" s="17" t="s">
        <v>73</v>
      </c>
      <c r="B32">
        <v>2009</v>
      </c>
      <c r="C32" s="22"/>
      <c r="D32" s="22"/>
      <c r="E32" s="22"/>
      <c r="F32" s="22"/>
      <c r="H32" t="s">
        <v>36</v>
      </c>
      <c r="I32">
        <v>2009</v>
      </c>
      <c r="J32" s="22">
        <v>35000</v>
      </c>
      <c r="K32" s="22">
        <v>33900</v>
      </c>
      <c r="L32" s="161">
        <v>145</v>
      </c>
      <c r="M32" s="22">
        <v>4931000</v>
      </c>
    </row>
    <row r="33" spans="1:13">
      <c r="A33" s="17" t="s">
        <v>73</v>
      </c>
      <c r="B33">
        <v>2010</v>
      </c>
      <c r="C33" s="22"/>
      <c r="D33" s="22"/>
      <c r="E33" s="22"/>
      <c r="F33" s="22"/>
      <c r="H33" t="s">
        <v>36</v>
      </c>
      <c r="I33">
        <v>2010</v>
      </c>
      <c r="J33" s="22">
        <v>30000</v>
      </c>
      <c r="K33" s="22">
        <v>28000</v>
      </c>
      <c r="L33" s="161">
        <v>94.3</v>
      </c>
      <c r="M33" s="22">
        <v>2640000</v>
      </c>
    </row>
    <row r="34" spans="1:13">
      <c r="A34" s="17" t="s">
        <v>73</v>
      </c>
      <c r="B34">
        <v>2011</v>
      </c>
      <c r="C34" s="22"/>
      <c r="D34" s="22"/>
      <c r="E34" s="22"/>
      <c r="F34" s="22"/>
      <c r="H34" t="s">
        <v>36</v>
      </c>
      <c r="I34">
        <v>2011</v>
      </c>
      <c r="J34" s="22"/>
      <c r="K34" s="22"/>
      <c r="L34" s="132"/>
      <c r="M34" s="22"/>
    </row>
    <row r="35" spans="1:13">
      <c r="A35" t="s">
        <v>62</v>
      </c>
      <c r="C35" s="22"/>
      <c r="D35" s="22">
        <f>AVERAGE(D3:D33)</f>
        <v>61865.517241379312</v>
      </c>
      <c r="E35" s="22">
        <f>AVERAGE(E3:E33)</f>
        <v>20.981239592052862</v>
      </c>
      <c r="F35" s="22"/>
      <c r="G35" s="22"/>
      <c r="H35" t="s">
        <v>62</v>
      </c>
      <c r="I35" s="22"/>
      <c r="J35" s="22">
        <f>AVERAGE(J3:J34)</f>
        <v>36941.93548387097</v>
      </c>
      <c r="K35" s="22">
        <f t="shared" ref="K35:M35" si="1">AVERAGE(K3:K34)</f>
        <v>33432.258064516129</v>
      </c>
      <c r="L35" s="132">
        <f t="shared" si="1"/>
        <v>111.06774193548387</v>
      </c>
      <c r="M35" s="22">
        <f t="shared" si="1"/>
        <v>3751387.0967741935</v>
      </c>
    </row>
    <row r="36" spans="1:13">
      <c r="A36" t="s">
        <v>63</v>
      </c>
      <c r="C36" s="25"/>
      <c r="D36" s="25">
        <f>AVERAGE(D24:D33)</f>
        <v>72475</v>
      </c>
      <c r="E36" s="25">
        <f>AVERAGE(E24:E33)</f>
        <v>23.665483567873508</v>
      </c>
      <c r="F36" s="25"/>
      <c r="G36" s="25"/>
      <c r="H36" t="s">
        <v>63</v>
      </c>
      <c r="I36" s="25"/>
      <c r="J36" s="22">
        <f>AVERAGE(J24:J33)</f>
        <v>31400</v>
      </c>
      <c r="K36" s="22">
        <f t="shared" ref="K36:M36" si="2">AVERAGE(K24:K33)</f>
        <v>29830</v>
      </c>
      <c r="L36" s="132">
        <f t="shared" si="2"/>
        <v>138.12</v>
      </c>
      <c r="M36" s="22">
        <f t="shared" si="2"/>
        <v>4173200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6"/>
  <sheetViews>
    <sheetView workbookViewId="0">
      <pane ySplit="2640" activePane="bottomLeft"/>
      <selection sqref="A1:XFD1048576"/>
      <selection pane="bottomLeft" activeCell="K15" sqref="K15"/>
    </sheetView>
  </sheetViews>
  <sheetFormatPr defaultRowHeight="12.75"/>
  <cols>
    <col min="1" max="3" width="9.140625" style="146"/>
    <col min="4" max="4" width="12.5703125" style="146" customWidth="1"/>
    <col min="5" max="5" width="11" style="146" customWidth="1"/>
    <col min="6" max="6" width="12.5703125" style="146" bestFit="1" customWidth="1"/>
    <col min="7" max="7" width="9.140625" style="146"/>
    <col min="8" max="8" width="15.42578125" style="146" customWidth="1"/>
    <col min="9" max="10" width="10.85546875" style="146" bestFit="1" customWidth="1"/>
    <col min="11" max="11" width="16.5703125" style="146" customWidth="1"/>
    <col min="12" max="12" width="14.42578125" style="146" customWidth="1"/>
    <col min="13" max="13" width="10.85546875" style="146" bestFit="1" customWidth="1"/>
    <col min="14" max="16384" width="9.140625" style="146"/>
  </cols>
  <sheetData>
    <row r="1" spans="1:14" ht="15">
      <c r="A1" s="145" t="s">
        <v>73</v>
      </c>
      <c r="K1" s="147" t="s">
        <v>161</v>
      </c>
      <c r="L1" s="147" t="s">
        <v>161</v>
      </c>
    </row>
    <row r="2" spans="1:14" ht="15.75" thickBot="1">
      <c r="A2" s="145"/>
      <c r="H2" s="147" t="s">
        <v>162</v>
      </c>
      <c r="I2" s="147" t="s">
        <v>163</v>
      </c>
      <c r="J2" s="147" t="s">
        <v>164</v>
      </c>
      <c r="K2" s="147" t="s">
        <v>165</v>
      </c>
      <c r="L2" s="147" t="s">
        <v>166</v>
      </c>
      <c r="M2" s="147" t="s">
        <v>167</v>
      </c>
    </row>
    <row r="3" spans="1:14" ht="13.5" thickBot="1">
      <c r="A3" s="146" t="s">
        <v>37</v>
      </c>
      <c r="C3" s="148">
        <v>1000</v>
      </c>
      <c r="E3" s="146" t="s">
        <v>168</v>
      </c>
      <c r="G3" s="157">
        <v>8.15</v>
      </c>
      <c r="H3" s="150">
        <f>G4+G5</f>
        <v>8.4</v>
      </c>
      <c r="I3" s="150">
        <f>H22</f>
        <v>7.97</v>
      </c>
      <c r="J3" s="150">
        <f>H38</f>
        <v>8.07</v>
      </c>
      <c r="K3" s="150">
        <f>H58</f>
        <v>7.9450000000000003</v>
      </c>
      <c r="L3" s="150">
        <f>H80</f>
        <v>8.25</v>
      </c>
      <c r="M3" s="150">
        <f>H101</f>
        <v>8.32</v>
      </c>
      <c r="N3" s="146" t="s">
        <v>169</v>
      </c>
    </row>
    <row r="4" spans="1:14" ht="13.5" thickBot="1">
      <c r="A4" s="146" t="s">
        <v>150</v>
      </c>
      <c r="C4" s="148">
        <v>20</v>
      </c>
      <c r="E4" s="146" t="s">
        <v>170</v>
      </c>
      <c r="G4" s="157">
        <v>9</v>
      </c>
      <c r="H4" s="151">
        <f>H3*$C$5</f>
        <v>168000</v>
      </c>
      <c r="I4" s="151">
        <f t="shared" ref="I4:M4" si="0">I3*$C$5</f>
        <v>159400</v>
      </c>
      <c r="J4" s="151">
        <f t="shared" si="0"/>
        <v>161400</v>
      </c>
      <c r="K4" s="151">
        <f t="shared" si="0"/>
        <v>158900</v>
      </c>
      <c r="L4" s="151">
        <f t="shared" si="0"/>
        <v>165000</v>
      </c>
      <c r="M4" s="151">
        <f t="shared" si="0"/>
        <v>166400</v>
      </c>
      <c r="N4" s="146" t="s">
        <v>171</v>
      </c>
    </row>
    <row r="5" spans="1:14" ht="13.5" thickBot="1">
      <c r="A5" s="146" t="s">
        <v>172</v>
      </c>
      <c r="C5" s="148">
        <f>C3*C4</f>
        <v>20000</v>
      </c>
      <c r="E5" s="146" t="s">
        <v>173</v>
      </c>
      <c r="G5" s="157">
        <v>-0.6</v>
      </c>
    </row>
    <row r="6" spans="1:14">
      <c r="A6" s="146" t="s">
        <v>174</v>
      </c>
      <c r="C6" s="146">
        <v>0.5</v>
      </c>
      <c r="G6" s="149"/>
    </row>
    <row r="7" spans="1:14">
      <c r="A7" s="146" t="s">
        <v>175</v>
      </c>
      <c r="C7" s="152">
        <f>C5*C6</f>
        <v>10000</v>
      </c>
    </row>
    <row r="8" spans="1:14">
      <c r="A8" s="146" t="s">
        <v>176</v>
      </c>
      <c r="C8" s="148">
        <v>5000</v>
      </c>
    </row>
    <row r="9" spans="1:14">
      <c r="A9" s="146" t="s">
        <v>177</v>
      </c>
      <c r="C9" s="152">
        <f>C3*C4*C6/C8</f>
        <v>2</v>
      </c>
    </row>
    <row r="10" spans="1:14">
      <c r="C10" s="152"/>
    </row>
    <row r="11" spans="1:14" ht="15">
      <c r="A11" s="145" t="s">
        <v>178</v>
      </c>
      <c r="H11" s="149"/>
    </row>
    <row r="12" spans="1:14">
      <c r="B12" s="146" t="s">
        <v>179</v>
      </c>
      <c r="C12" s="146" t="s">
        <v>53</v>
      </c>
      <c r="D12" s="153">
        <v>2</v>
      </c>
      <c r="E12" s="146" t="s">
        <v>198</v>
      </c>
      <c r="F12" s="154">
        <f>G3</f>
        <v>8.15</v>
      </c>
      <c r="H12" s="149"/>
    </row>
    <row r="13" spans="1:14">
      <c r="F13" s="149"/>
      <c r="H13" s="149"/>
    </row>
    <row r="14" spans="1:14">
      <c r="B14" s="146" t="s">
        <v>55</v>
      </c>
      <c r="C14" s="146" t="s">
        <v>180</v>
      </c>
      <c r="D14" s="153">
        <f>D12</f>
        <v>2</v>
      </c>
      <c r="E14" s="146" t="str">
        <f>E12</f>
        <v>Jul KW</v>
      </c>
      <c r="F14" s="154">
        <f>G4</f>
        <v>9</v>
      </c>
      <c r="H14" s="149"/>
    </row>
    <row r="15" spans="1:14">
      <c r="C15" s="146" t="s">
        <v>181</v>
      </c>
      <c r="F15" s="149">
        <f>F12-F14</f>
        <v>-0.84999999999999964</v>
      </c>
      <c r="H15" s="149">
        <f>F15*5000*D14</f>
        <v>-8499.9999999999964</v>
      </c>
    </row>
    <row r="16" spans="1:14">
      <c r="C16" s="146" t="s">
        <v>182</v>
      </c>
      <c r="F16" s="149"/>
      <c r="H16" s="149">
        <f>-50*D14</f>
        <v>-100</v>
      </c>
    </row>
    <row r="17" spans="1:8">
      <c r="C17" s="146" t="s">
        <v>183</v>
      </c>
      <c r="F17" s="149"/>
      <c r="H17" s="149">
        <f>H15+H16</f>
        <v>-8599.9999999999964</v>
      </c>
    </row>
    <row r="18" spans="1:8">
      <c r="F18" s="149"/>
      <c r="H18" s="149"/>
    </row>
    <row r="19" spans="1:8">
      <c r="C19" s="146" t="s">
        <v>173</v>
      </c>
      <c r="F19" s="149">
        <f>G5</f>
        <v>-0.6</v>
      </c>
      <c r="H19" s="149"/>
    </row>
    <row r="20" spans="1:8">
      <c r="C20" s="146" t="s">
        <v>53</v>
      </c>
      <c r="D20" s="155">
        <f>C5</f>
        <v>20000</v>
      </c>
      <c r="E20" s="156" t="s">
        <v>40</v>
      </c>
      <c r="F20" s="149">
        <f>F14+F19</f>
        <v>8.4</v>
      </c>
      <c r="H20" s="149">
        <f>D20*F20</f>
        <v>168000</v>
      </c>
    </row>
    <row r="21" spans="1:8" ht="13.5" thickBot="1">
      <c r="C21" s="146" t="s">
        <v>199</v>
      </c>
      <c r="F21" s="149"/>
      <c r="H21" s="149">
        <f>H20+H17</f>
        <v>159400</v>
      </c>
    </row>
    <row r="22" spans="1:8" ht="13.5" thickBot="1">
      <c r="C22" s="146" t="s">
        <v>185</v>
      </c>
      <c r="F22" s="149"/>
      <c r="H22" s="157">
        <f>H21/D20</f>
        <v>7.97</v>
      </c>
    </row>
    <row r="23" spans="1:8">
      <c r="F23" s="158"/>
      <c r="H23" s="149"/>
    </row>
    <row r="24" spans="1:8">
      <c r="F24" s="149"/>
      <c r="H24" s="149"/>
    </row>
    <row r="25" spans="1:8" ht="15">
      <c r="A25" s="145" t="s">
        <v>186</v>
      </c>
      <c r="F25" s="149"/>
      <c r="G25" s="149"/>
      <c r="H25" s="149"/>
    </row>
    <row r="26" spans="1:8">
      <c r="B26" s="146" t="s">
        <v>179</v>
      </c>
      <c r="C26" s="146" t="s">
        <v>200</v>
      </c>
      <c r="F26" s="154">
        <f>G3</f>
        <v>8.15</v>
      </c>
      <c r="G26" s="149"/>
      <c r="H26" s="149"/>
    </row>
    <row r="27" spans="1:8">
      <c r="C27" s="146" t="s">
        <v>52</v>
      </c>
      <c r="D27" s="153">
        <v>2</v>
      </c>
      <c r="E27" s="146" t="s">
        <v>201</v>
      </c>
      <c r="F27" s="149">
        <v>7.5</v>
      </c>
      <c r="G27" s="149">
        <v>-0.65</v>
      </c>
      <c r="H27" s="149">
        <f>G27*5000*D27</f>
        <v>-6500</v>
      </c>
    </row>
    <row r="28" spans="1:8">
      <c r="F28" s="149"/>
      <c r="G28" s="149"/>
      <c r="H28" s="149"/>
    </row>
    <row r="29" spans="1:8">
      <c r="B29" s="146" t="s">
        <v>55</v>
      </c>
      <c r="C29" s="146" t="s">
        <v>198</v>
      </c>
      <c r="F29" s="154">
        <f>G4</f>
        <v>9</v>
      </c>
      <c r="G29" s="149"/>
      <c r="H29" s="149"/>
    </row>
    <row r="30" spans="1:8">
      <c r="C30" s="146" t="s">
        <v>53</v>
      </c>
      <c r="D30" s="153">
        <f>D27</f>
        <v>2</v>
      </c>
      <c r="E30" s="146" t="str">
        <f>E27</f>
        <v>Jul KW puts</v>
      </c>
      <c r="F30" s="149">
        <f>F27</f>
        <v>7.5</v>
      </c>
      <c r="G30" s="149">
        <f>IF(F30&gt;=F29,F30-F29,0)</f>
        <v>0</v>
      </c>
      <c r="H30" s="149">
        <f>D27*5000*G30</f>
        <v>0</v>
      </c>
    </row>
    <row r="31" spans="1:8">
      <c r="C31" s="146" t="s">
        <v>187</v>
      </c>
      <c r="F31" s="149"/>
      <c r="G31" s="149">
        <f>G30+G27</f>
        <v>-0.65</v>
      </c>
      <c r="H31" s="149">
        <f>H30+H27</f>
        <v>-6500</v>
      </c>
    </row>
    <row r="32" spans="1:8">
      <c r="C32" s="146" t="s">
        <v>182</v>
      </c>
      <c r="F32" s="149"/>
      <c r="G32" s="149"/>
      <c r="H32" s="149">
        <f>D27*-50</f>
        <v>-100</v>
      </c>
    </row>
    <row r="33" spans="1:8">
      <c r="C33" s="146" t="s">
        <v>188</v>
      </c>
      <c r="F33" s="149"/>
      <c r="G33" s="149"/>
      <c r="H33" s="149">
        <f>H32+H31</f>
        <v>-6600</v>
      </c>
    </row>
    <row r="34" spans="1:8">
      <c r="F34" s="149"/>
      <c r="H34" s="149"/>
    </row>
    <row r="35" spans="1:8">
      <c r="C35" s="146" t="s">
        <v>173</v>
      </c>
      <c r="F35" s="149">
        <f>G5</f>
        <v>-0.6</v>
      </c>
      <c r="H35" s="149"/>
    </row>
    <row r="36" spans="1:8">
      <c r="C36" s="146" t="s">
        <v>53</v>
      </c>
      <c r="D36" s="159">
        <f>C5</f>
        <v>20000</v>
      </c>
      <c r="E36" s="146" t="s">
        <v>40</v>
      </c>
      <c r="F36" s="149">
        <f>F29+F35</f>
        <v>8.4</v>
      </c>
      <c r="G36" s="156"/>
      <c r="H36" s="149">
        <f>F36*D36</f>
        <v>168000</v>
      </c>
    </row>
    <row r="37" spans="1:8" ht="13.5" thickBot="1">
      <c r="C37" s="146" t="s">
        <v>184</v>
      </c>
      <c r="D37" s="159"/>
      <c r="F37" s="149"/>
      <c r="H37" s="149">
        <f>H33+H36</f>
        <v>161400</v>
      </c>
    </row>
    <row r="38" spans="1:8" ht="13.5" thickBot="1">
      <c r="C38" s="146" t="s">
        <v>185</v>
      </c>
      <c r="F38" s="149"/>
      <c r="H38" s="157">
        <f>H37/D36</f>
        <v>8.07</v>
      </c>
    </row>
    <row r="39" spans="1:8">
      <c r="H39" s="149"/>
    </row>
    <row r="40" spans="1:8">
      <c r="H40" s="149"/>
    </row>
    <row r="41" spans="1:8" ht="15">
      <c r="A41" s="145" t="s">
        <v>189</v>
      </c>
      <c r="H41" s="149"/>
    </row>
    <row r="42" spans="1:8">
      <c r="B42" s="146" t="s">
        <v>179</v>
      </c>
      <c r="C42" s="146" t="s">
        <v>200</v>
      </c>
      <c r="F42" s="154">
        <f>G3</f>
        <v>8.15</v>
      </c>
      <c r="G42" s="149"/>
      <c r="H42" s="149"/>
    </row>
    <row r="43" spans="1:8">
      <c r="C43" s="146" t="s">
        <v>190</v>
      </c>
      <c r="F43" s="149">
        <v>7.75</v>
      </c>
      <c r="G43" s="149"/>
      <c r="H43" s="149"/>
    </row>
    <row r="44" spans="1:8">
      <c r="C44" s="146" t="s">
        <v>191</v>
      </c>
      <c r="F44" s="149">
        <f>F43-F42</f>
        <v>-0.40000000000000036</v>
      </c>
      <c r="G44" s="149"/>
      <c r="H44" s="149"/>
    </row>
    <row r="45" spans="1:8">
      <c r="C45" s="146" t="s">
        <v>192</v>
      </c>
      <c r="D45" s="159">
        <v>10000</v>
      </c>
      <c r="E45" s="146" t="s">
        <v>40</v>
      </c>
      <c r="F45" s="149">
        <f>F43</f>
        <v>7.75</v>
      </c>
      <c r="G45" s="149"/>
      <c r="H45" s="149">
        <f>F45*D45</f>
        <v>77500</v>
      </c>
    </row>
    <row r="46" spans="1:8">
      <c r="C46" s="146" t="s">
        <v>52</v>
      </c>
      <c r="D46" s="159">
        <v>2</v>
      </c>
      <c r="E46" s="146" t="s">
        <v>202</v>
      </c>
      <c r="F46" s="149">
        <v>8.5</v>
      </c>
      <c r="G46" s="149">
        <v>-0.75</v>
      </c>
      <c r="H46" s="149">
        <f>D46*G46*5000</f>
        <v>-7500</v>
      </c>
    </row>
    <row r="47" spans="1:8">
      <c r="F47" s="149"/>
      <c r="G47" s="149"/>
      <c r="H47" s="149"/>
    </row>
    <row r="48" spans="1:8">
      <c r="B48" s="146" t="s">
        <v>55</v>
      </c>
      <c r="C48" s="146" t="s">
        <v>200</v>
      </c>
      <c r="F48" s="154">
        <f>G4</f>
        <v>9</v>
      </c>
      <c r="G48" s="149"/>
      <c r="H48" s="149"/>
    </row>
    <row r="49" spans="1:8">
      <c r="C49" s="146" t="s">
        <v>53</v>
      </c>
      <c r="D49" s="159">
        <f>D46</f>
        <v>2</v>
      </c>
      <c r="E49" s="146" t="str">
        <f>E46</f>
        <v>Jul KW calls</v>
      </c>
      <c r="F49" s="149">
        <f>F46</f>
        <v>8.5</v>
      </c>
      <c r="G49" s="149">
        <f>IF(F48&gt;=F49,F48-F49,0)</f>
        <v>0.5</v>
      </c>
      <c r="H49" s="149">
        <f>G49*5000*D49</f>
        <v>5000</v>
      </c>
    </row>
    <row r="50" spans="1:8">
      <c r="C50" s="146" t="s">
        <v>187</v>
      </c>
      <c r="F50" s="149"/>
      <c r="G50" s="149">
        <f>G49+G46</f>
        <v>-0.25</v>
      </c>
      <c r="H50" s="149">
        <f>H49+H46</f>
        <v>-2500</v>
      </c>
    </row>
    <row r="51" spans="1:8">
      <c r="C51" s="146" t="s">
        <v>182</v>
      </c>
      <c r="F51" s="149"/>
      <c r="G51" s="149"/>
      <c r="H51" s="149">
        <f>D49*-50</f>
        <v>-100</v>
      </c>
    </row>
    <row r="52" spans="1:8">
      <c r="C52" s="146" t="s">
        <v>188</v>
      </c>
      <c r="F52" s="149"/>
      <c r="G52" s="149"/>
      <c r="H52" s="149">
        <f>H51+H50</f>
        <v>-2600</v>
      </c>
    </row>
    <row r="53" spans="1:8">
      <c r="F53" s="149"/>
      <c r="G53" s="149"/>
      <c r="H53" s="149"/>
    </row>
    <row r="54" spans="1:8">
      <c r="C54" s="146" t="s">
        <v>173</v>
      </c>
      <c r="F54" s="149">
        <f>G5</f>
        <v>-0.6</v>
      </c>
      <c r="G54" s="149"/>
      <c r="H54" s="149"/>
    </row>
    <row r="55" spans="1:8">
      <c r="C55" s="146" t="s">
        <v>53</v>
      </c>
      <c r="D55" s="159">
        <f>C5-D56</f>
        <v>10000</v>
      </c>
      <c r="E55" s="146" t="s">
        <v>40</v>
      </c>
      <c r="F55" s="149">
        <f>F48+F54</f>
        <v>8.4</v>
      </c>
      <c r="G55" s="149"/>
      <c r="H55" s="149">
        <f>D55*F55</f>
        <v>84000</v>
      </c>
    </row>
    <row r="56" spans="1:8">
      <c r="C56" s="146" t="s">
        <v>53</v>
      </c>
      <c r="D56" s="159">
        <f>D45</f>
        <v>10000</v>
      </c>
      <c r="E56" s="146" t="s">
        <v>40</v>
      </c>
      <c r="F56" s="149">
        <f>F45</f>
        <v>7.75</v>
      </c>
      <c r="G56" s="149"/>
      <c r="H56" s="149">
        <f>D56*F56</f>
        <v>77500</v>
      </c>
    </row>
    <row r="57" spans="1:8" ht="13.5" thickBot="1">
      <c r="C57" s="146" t="s">
        <v>184</v>
      </c>
      <c r="F57" s="149"/>
      <c r="G57" s="149"/>
      <c r="H57" s="149">
        <f>H52+H55+H56</f>
        <v>158900</v>
      </c>
    </row>
    <row r="58" spans="1:8" ht="13.5" thickBot="1">
      <c r="C58" s="146" t="s">
        <v>185</v>
      </c>
      <c r="G58" s="149"/>
      <c r="H58" s="157">
        <f>H57/(D55+D56)</f>
        <v>7.9450000000000003</v>
      </c>
    </row>
    <row r="59" spans="1:8">
      <c r="G59" s="149"/>
      <c r="H59" s="149"/>
    </row>
    <row r="61" spans="1:8" ht="15">
      <c r="A61" s="145" t="s">
        <v>194</v>
      </c>
    </row>
    <row r="62" spans="1:8">
      <c r="B62" s="146" t="s">
        <v>179</v>
      </c>
      <c r="C62" s="146" t="s">
        <v>200</v>
      </c>
      <c r="F62" s="154">
        <f>G3</f>
        <v>8.15</v>
      </c>
      <c r="G62" s="149"/>
      <c r="H62" s="149"/>
    </row>
    <row r="63" spans="1:8">
      <c r="C63" s="146" t="s">
        <v>190</v>
      </c>
      <c r="F63" s="149">
        <v>7.75</v>
      </c>
      <c r="G63" s="149"/>
      <c r="H63" s="149"/>
    </row>
    <row r="64" spans="1:8">
      <c r="C64" s="146" t="s">
        <v>191</v>
      </c>
      <c r="F64" s="149">
        <f>F63-F62</f>
        <v>-0.40000000000000036</v>
      </c>
      <c r="G64" s="149"/>
      <c r="H64" s="149"/>
    </row>
    <row r="65" spans="2:8">
      <c r="C65" s="146" t="s">
        <v>192</v>
      </c>
      <c r="D65" s="159">
        <v>10000</v>
      </c>
      <c r="E65" s="146" t="s">
        <v>40</v>
      </c>
      <c r="F65" s="149">
        <f>F63</f>
        <v>7.75</v>
      </c>
      <c r="G65" s="149"/>
      <c r="H65" s="149">
        <f>F65*D65</f>
        <v>77500</v>
      </c>
    </row>
    <row r="66" spans="2:8">
      <c r="C66" s="146" t="s">
        <v>52</v>
      </c>
      <c r="D66" s="159">
        <v>2</v>
      </c>
      <c r="E66" s="146" t="s">
        <v>193</v>
      </c>
      <c r="F66" s="149">
        <v>8.1999999999999993</v>
      </c>
      <c r="G66" s="149">
        <v>-0.85</v>
      </c>
      <c r="H66" s="149">
        <f>D66*G66*5000</f>
        <v>-8500</v>
      </c>
    </row>
    <row r="67" spans="2:8">
      <c r="C67" s="146" t="s">
        <v>195</v>
      </c>
      <c r="D67" s="159">
        <v>2</v>
      </c>
      <c r="E67" s="146" t="s">
        <v>193</v>
      </c>
      <c r="F67" s="149">
        <v>9</v>
      </c>
      <c r="G67" s="149">
        <v>0.42</v>
      </c>
      <c r="H67" s="149">
        <f>D67*G67*5000</f>
        <v>4200</v>
      </c>
    </row>
    <row r="68" spans="2:8">
      <c r="F68" s="149"/>
      <c r="G68" s="149"/>
      <c r="H68" s="149"/>
    </row>
    <row r="69" spans="2:8">
      <c r="B69" s="146" t="s">
        <v>55</v>
      </c>
      <c r="C69" s="146" t="s">
        <v>200</v>
      </c>
      <c r="F69" s="154">
        <f>G4</f>
        <v>9</v>
      </c>
      <c r="G69" s="149"/>
      <c r="H69" s="149"/>
    </row>
    <row r="70" spans="2:8">
      <c r="C70" s="146" t="s">
        <v>53</v>
      </c>
      <c r="D70" s="159">
        <f t="shared" ref="D70:F71" si="1">D66</f>
        <v>2</v>
      </c>
      <c r="E70" s="146" t="s">
        <v>202</v>
      </c>
      <c r="F70" s="149">
        <f t="shared" si="1"/>
        <v>8.1999999999999993</v>
      </c>
      <c r="G70" s="149">
        <f>IF(F69&gt;=F70,F69-F70,0)</f>
        <v>0.80000000000000071</v>
      </c>
      <c r="H70" s="149">
        <f>G70*5000*D70</f>
        <v>8000.0000000000073</v>
      </c>
    </row>
    <row r="71" spans="2:8">
      <c r="C71" s="146" t="s">
        <v>52</v>
      </c>
      <c r="D71" s="159">
        <f t="shared" si="1"/>
        <v>2</v>
      </c>
      <c r="E71" s="146" t="str">
        <f>E70</f>
        <v>Jul KW calls</v>
      </c>
      <c r="F71" s="149">
        <f t="shared" si="1"/>
        <v>9</v>
      </c>
      <c r="G71" s="149">
        <f>IF(F69&gt;=F71,F71-F69,0)</f>
        <v>0</v>
      </c>
      <c r="H71" s="149">
        <f>D71*G71*5000</f>
        <v>0</v>
      </c>
    </row>
    <row r="72" spans="2:8">
      <c r="C72" s="146" t="s">
        <v>187</v>
      </c>
      <c r="F72" s="149"/>
      <c r="G72" s="149">
        <f>(G70+G66)+(G67-G71)</f>
        <v>0.37000000000000072</v>
      </c>
      <c r="H72" s="149">
        <f>H66+H67+H70+H71</f>
        <v>3700.0000000000073</v>
      </c>
    </row>
    <row r="73" spans="2:8">
      <c r="C73" s="146" t="s">
        <v>182</v>
      </c>
      <c r="F73" s="149"/>
      <c r="G73" s="149"/>
      <c r="H73" s="149">
        <f>(D70+D71)*-50</f>
        <v>-200</v>
      </c>
    </row>
    <row r="74" spans="2:8">
      <c r="C74" s="146" t="s">
        <v>188</v>
      </c>
      <c r="F74" s="149"/>
      <c r="G74" s="149"/>
      <c r="H74" s="149">
        <f>H73+H72</f>
        <v>3500.0000000000073</v>
      </c>
    </row>
    <row r="75" spans="2:8">
      <c r="F75" s="149"/>
      <c r="G75" s="149"/>
      <c r="H75" s="149"/>
    </row>
    <row r="76" spans="2:8">
      <c r="C76" s="146" t="s">
        <v>173</v>
      </c>
      <c r="F76" s="149">
        <f>G5</f>
        <v>-0.6</v>
      </c>
      <c r="G76" s="149"/>
      <c r="H76" s="149"/>
    </row>
    <row r="77" spans="2:8">
      <c r="C77" s="146" t="s">
        <v>53</v>
      </c>
      <c r="D77" s="159">
        <f>C5-D78</f>
        <v>10000</v>
      </c>
      <c r="E77" s="146" t="s">
        <v>40</v>
      </c>
      <c r="F77" s="149">
        <f>F69+F76</f>
        <v>8.4</v>
      </c>
      <c r="G77" s="149"/>
      <c r="H77" s="149">
        <f>D77*F77</f>
        <v>84000</v>
      </c>
    </row>
    <row r="78" spans="2:8">
      <c r="C78" s="146" t="s">
        <v>53</v>
      </c>
      <c r="D78" s="159">
        <f>D65</f>
        <v>10000</v>
      </c>
      <c r="E78" s="146" t="s">
        <v>40</v>
      </c>
      <c r="F78" s="149">
        <f>F65</f>
        <v>7.75</v>
      </c>
      <c r="G78" s="149"/>
      <c r="H78" s="149">
        <f>D78*F78</f>
        <v>77500</v>
      </c>
    </row>
    <row r="79" spans="2:8" ht="13.5" thickBot="1">
      <c r="C79" s="146" t="s">
        <v>184</v>
      </c>
      <c r="F79" s="149"/>
      <c r="G79" s="149"/>
      <c r="H79" s="149">
        <f>H74+H77+H78</f>
        <v>165000</v>
      </c>
    </row>
    <row r="80" spans="2:8" ht="13.5" thickBot="1">
      <c r="C80" s="146" t="s">
        <v>185</v>
      </c>
      <c r="G80" s="149"/>
      <c r="H80" s="157">
        <f>H79/(D77+D78)</f>
        <v>8.25</v>
      </c>
    </row>
    <row r="81" spans="1:8">
      <c r="G81" s="149"/>
      <c r="H81" s="149"/>
    </row>
    <row r="84" spans="1:8" ht="15">
      <c r="A84" s="145" t="s">
        <v>196</v>
      </c>
      <c r="F84" s="149"/>
      <c r="G84" s="149"/>
      <c r="H84" s="149"/>
    </row>
    <row r="85" spans="1:8">
      <c r="B85" s="146" t="s">
        <v>179</v>
      </c>
      <c r="C85" s="146" t="s">
        <v>200</v>
      </c>
      <c r="F85" s="154">
        <f>G3</f>
        <v>8.15</v>
      </c>
      <c r="G85" s="149"/>
      <c r="H85" s="149"/>
    </row>
    <row r="86" spans="1:8">
      <c r="C86" s="146" t="s">
        <v>52</v>
      </c>
      <c r="D86" s="146">
        <v>2</v>
      </c>
      <c r="E86" s="146" t="s">
        <v>201</v>
      </c>
      <c r="F86" s="149">
        <v>8</v>
      </c>
      <c r="G86" s="149">
        <v>-0.9</v>
      </c>
      <c r="H86" s="149">
        <f>D86*G86*C8</f>
        <v>-9000</v>
      </c>
    </row>
    <row r="87" spans="1:8">
      <c r="C87" s="146" t="s">
        <v>53</v>
      </c>
      <c r="D87" s="146">
        <f>D86</f>
        <v>2</v>
      </c>
      <c r="E87" s="146" t="str">
        <f>E86</f>
        <v>Jul KW puts</v>
      </c>
      <c r="F87" s="149">
        <v>6.5</v>
      </c>
      <c r="G87" s="149">
        <v>0.35</v>
      </c>
      <c r="H87" s="149">
        <f>D87*G87*C8</f>
        <v>3500</v>
      </c>
    </row>
    <row r="88" spans="1:8">
      <c r="C88" s="146" t="s">
        <v>53</v>
      </c>
      <c r="D88" s="146">
        <f>D86</f>
        <v>2</v>
      </c>
      <c r="E88" s="146" t="s">
        <v>202</v>
      </c>
      <c r="F88" s="149">
        <v>9</v>
      </c>
      <c r="G88" s="149">
        <v>0.42</v>
      </c>
      <c r="H88" s="149">
        <f>D88*G88*C8</f>
        <v>4200</v>
      </c>
    </row>
    <row r="89" spans="1:8">
      <c r="F89" s="149"/>
      <c r="G89" s="149"/>
      <c r="H89" s="149"/>
    </row>
    <row r="90" spans="1:8">
      <c r="B90" s="146" t="s">
        <v>55</v>
      </c>
      <c r="C90" s="146" t="s">
        <v>200</v>
      </c>
      <c r="F90" s="154">
        <f>G4</f>
        <v>9</v>
      </c>
      <c r="G90" s="149"/>
      <c r="H90" s="149"/>
    </row>
    <row r="91" spans="1:8">
      <c r="C91" s="146" t="s">
        <v>53</v>
      </c>
      <c r="D91" s="146">
        <f t="shared" ref="D91:F93" si="2">D86</f>
        <v>2</v>
      </c>
      <c r="E91" s="146" t="str">
        <f t="shared" si="2"/>
        <v>Jul KW puts</v>
      </c>
      <c r="F91" s="149">
        <f t="shared" si="2"/>
        <v>8</v>
      </c>
      <c r="G91" s="149">
        <f>IF(F91&gt;F90,F91-F90,0)</f>
        <v>0</v>
      </c>
      <c r="H91" s="149">
        <f>D91*G91*$C$8</f>
        <v>0</v>
      </c>
    </row>
    <row r="92" spans="1:8">
      <c r="C92" s="146" t="s">
        <v>52</v>
      </c>
      <c r="D92" s="146">
        <f t="shared" si="2"/>
        <v>2</v>
      </c>
      <c r="E92" s="146" t="str">
        <f t="shared" si="2"/>
        <v>Jul KW puts</v>
      </c>
      <c r="F92" s="149">
        <f t="shared" si="2"/>
        <v>6.5</v>
      </c>
      <c r="G92" s="149">
        <f>-IF(F92&gt;F90,F92-F90,0)</f>
        <v>0</v>
      </c>
      <c r="H92" s="149">
        <f>D92*G92*C8</f>
        <v>0</v>
      </c>
    </row>
    <row r="93" spans="1:8">
      <c r="C93" s="146" t="s">
        <v>52</v>
      </c>
      <c r="D93" s="146">
        <f t="shared" si="2"/>
        <v>2</v>
      </c>
      <c r="E93" s="146" t="str">
        <f t="shared" si="2"/>
        <v>Jul KW calls</v>
      </c>
      <c r="F93" s="149">
        <f t="shared" si="2"/>
        <v>9</v>
      </c>
      <c r="G93" s="149">
        <f>-IF(F90&gt;F93,F90-F93,0)</f>
        <v>0</v>
      </c>
      <c r="H93" s="149">
        <f>D93*G93*$C$8</f>
        <v>0</v>
      </c>
    </row>
    <row r="94" spans="1:8">
      <c r="C94" s="146" t="s">
        <v>187</v>
      </c>
      <c r="F94" s="149"/>
      <c r="G94" s="149"/>
      <c r="H94" s="149">
        <f>H86+H87+H88+H91+H92+H93</f>
        <v>-1300</v>
      </c>
    </row>
    <row r="95" spans="1:8">
      <c r="C95" s="146" t="s">
        <v>182</v>
      </c>
      <c r="F95" s="149"/>
      <c r="G95" s="149"/>
      <c r="H95" s="149">
        <f>(D86+D87+D88)*-50</f>
        <v>-300</v>
      </c>
    </row>
    <row r="96" spans="1:8">
      <c r="C96" s="146" t="s">
        <v>188</v>
      </c>
      <c r="F96" s="149"/>
      <c r="G96" s="149"/>
      <c r="H96" s="149">
        <f>H94+H95</f>
        <v>-1600</v>
      </c>
    </row>
    <row r="97" spans="3:8">
      <c r="F97" s="149"/>
      <c r="G97" s="149"/>
      <c r="H97" s="149"/>
    </row>
    <row r="98" spans="3:8">
      <c r="C98" s="146" t="s">
        <v>173</v>
      </c>
      <c r="F98" s="149">
        <f>G5</f>
        <v>-0.6</v>
      </c>
      <c r="G98" s="149"/>
      <c r="H98" s="149"/>
    </row>
    <row r="99" spans="3:8">
      <c r="C99" s="146" t="s">
        <v>53</v>
      </c>
      <c r="D99" s="152">
        <f>C5</f>
        <v>20000</v>
      </c>
      <c r="E99" s="146" t="s">
        <v>40</v>
      </c>
      <c r="F99" s="149">
        <f>F90+F98</f>
        <v>8.4</v>
      </c>
      <c r="G99" s="149"/>
      <c r="H99" s="149">
        <f>D99*F99</f>
        <v>168000</v>
      </c>
    </row>
    <row r="100" spans="3:8" ht="13.5" thickBot="1">
      <c r="C100" s="146" t="s">
        <v>184</v>
      </c>
      <c r="H100" s="160">
        <f>H99+H96</f>
        <v>166400</v>
      </c>
    </row>
    <row r="101" spans="3:8" ht="13.5" thickBot="1">
      <c r="C101" s="146" t="s">
        <v>185</v>
      </c>
      <c r="H101" s="157">
        <f>H100/D99</f>
        <v>8.32</v>
      </c>
    </row>
    <row r="103" spans="3:8">
      <c r="F103" s="149"/>
      <c r="G103" s="149"/>
      <c r="H103" s="149"/>
    </row>
    <row r="104" spans="3:8">
      <c r="F104" s="149"/>
      <c r="G104" s="149"/>
      <c r="H104" s="149"/>
    </row>
    <row r="105" spans="3:8">
      <c r="F105" s="149"/>
      <c r="G105" s="149"/>
      <c r="H105" s="149"/>
    </row>
    <row r="106" spans="3:8">
      <c r="F106" s="149"/>
      <c r="G106" s="149"/>
      <c r="H106" s="149"/>
    </row>
    <row r="107" spans="3:8">
      <c r="F107" s="149"/>
      <c r="G107" s="149"/>
      <c r="H107" s="149"/>
    </row>
    <row r="108" spans="3:8">
      <c r="F108" s="149"/>
      <c r="G108" s="149"/>
      <c r="H108" s="149"/>
    </row>
    <row r="109" spans="3:8">
      <c r="F109" s="149"/>
      <c r="G109" s="149"/>
      <c r="H109" s="149"/>
    </row>
    <row r="110" spans="3:8">
      <c r="F110" s="149"/>
      <c r="G110" s="149"/>
      <c r="H110" s="149"/>
    </row>
    <row r="111" spans="3:8">
      <c r="F111" s="149"/>
      <c r="G111" s="149"/>
      <c r="H111" s="149"/>
    </row>
    <row r="112" spans="3:8">
      <c r="F112" s="149"/>
      <c r="G112" s="149"/>
      <c r="H112" s="149"/>
    </row>
    <row r="113" spans="6:8">
      <c r="F113" s="149"/>
      <c r="G113" s="149"/>
      <c r="H113" s="149"/>
    </row>
    <row r="114" spans="6:8">
      <c r="F114" s="149"/>
      <c r="G114" s="149"/>
      <c r="H114" s="149"/>
    </row>
    <row r="115" spans="6:8">
      <c r="F115" s="149"/>
      <c r="G115" s="149"/>
      <c r="H115" s="149"/>
    </row>
    <row r="116" spans="6:8">
      <c r="F116" s="149"/>
      <c r="G116" s="149"/>
      <c r="H116" s="14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70"/>
  <sheetViews>
    <sheetView workbookViewId="0">
      <selection activeCell="R9" sqref="R9"/>
    </sheetView>
  </sheetViews>
  <sheetFormatPr defaultRowHeight="12.75"/>
  <cols>
    <col min="1" max="1" width="3.5703125" customWidth="1"/>
    <col min="2" max="2" width="23.28515625" customWidth="1"/>
    <col min="3" max="3" width="16.140625" customWidth="1"/>
    <col min="4" max="4" width="3.140625" customWidth="1"/>
    <col min="5" max="5" width="16" customWidth="1"/>
    <col min="6" max="6" width="3.42578125" customWidth="1"/>
    <col min="7" max="7" width="16" customWidth="1"/>
    <col min="8" max="8" width="2.28515625" customWidth="1"/>
    <col min="9" max="9" width="16.140625" customWidth="1"/>
    <col min="10" max="10" width="2.140625" customWidth="1"/>
    <col min="11" max="11" width="23.85546875" customWidth="1"/>
    <col min="12" max="12" width="16.28515625" customWidth="1"/>
    <col min="13" max="13" width="2.5703125" customWidth="1"/>
    <col min="14" max="14" width="16" customWidth="1"/>
    <col min="15" max="15" width="2.5703125" customWidth="1"/>
    <col min="16" max="16" width="15.85546875" customWidth="1"/>
    <col min="17" max="17" width="2.140625" customWidth="1"/>
    <col min="18" max="18" width="17" customWidth="1"/>
    <col min="21" max="21" width="13.7109375" customWidth="1"/>
    <col min="22" max="22" width="12.7109375" customWidth="1"/>
    <col min="23" max="23" width="14.5703125" bestFit="1" customWidth="1"/>
    <col min="24" max="24" width="13.85546875" customWidth="1"/>
    <col min="29" max="29" width="18.140625" customWidth="1"/>
  </cols>
  <sheetData>
    <row r="1" spans="1:34">
      <c r="A1" s="83" t="s">
        <v>115</v>
      </c>
      <c r="B1" s="83"/>
      <c r="D1" t="s">
        <v>116</v>
      </c>
      <c r="V1" s="17"/>
      <c r="W1" s="84"/>
      <c r="X1" s="17"/>
    </row>
    <row r="2" spans="1:34" ht="13.5" thickBot="1">
      <c r="B2" t="s">
        <v>117</v>
      </c>
      <c r="K2" t="s">
        <v>118</v>
      </c>
      <c r="U2" s="17"/>
      <c r="V2" s="17"/>
      <c r="W2" s="4"/>
      <c r="X2" s="85"/>
      <c r="Y2" s="17"/>
      <c r="AA2" s="17"/>
      <c r="AB2" s="17"/>
    </row>
    <row r="3" spans="1:34" s="23" customFormat="1">
      <c r="C3" s="86" t="s">
        <v>8</v>
      </c>
      <c r="D3" s="87"/>
      <c r="E3" s="88" t="s">
        <v>36</v>
      </c>
      <c r="F3" s="89"/>
      <c r="G3" s="90" t="s">
        <v>119</v>
      </c>
      <c r="H3" s="89"/>
      <c r="I3" s="91" t="s">
        <v>73</v>
      </c>
      <c r="J3" s="89"/>
      <c r="K3" s="89"/>
      <c r="L3" s="86" t="s">
        <v>8</v>
      </c>
      <c r="M3" s="89"/>
      <c r="N3" s="88" t="s">
        <v>36</v>
      </c>
      <c r="O3" s="89"/>
      <c r="P3" s="90" t="s">
        <v>119</v>
      </c>
      <c r="Q3" s="89"/>
      <c r="R3" s="91" t="s">
        <v>73</v>
      </c>
      <c r="T3" s="92"/>
      <c r="V3" s="92"/>
      <c r="W3" s="92"/>
      <c r="X3" s="92"/>
      <c r="Y3" s="92"/>
    </row>
    <row r="4" spans="1:34">
      <c r="B4" t="s">
        <v>120</v>
      </c>
      <c r="C4" s="93">
        <v>0.65</v>
      </c>
      <c r="D4" s="94"/>
      <c r="E4" s="95">
        <v>0.75</v>
      </c>
      <c r="G4" s="96">
        <v>0.65</v>
      </c>
      <c r="I4" s="97">
        <v>0.65</v>
      </c>
      <c r="K4" t="s">
        <v>120</v>
      </c>
      <c r="L4" s="93">
        <v>0.65</v>
      </c>
      <c r="N4" s="95">
        <v>0.75</v>
      </c>
      <c r="P4" s="96">
        <v>0.65</v>
      </c>
      <c r="R4" s="97">
        <v>0.65</v>
      </c>
      <c r="T4" s="98"/>
      <c r="W4" s="4"/>
      <c r="X4" s="24"/>
      <c r="Z4" s="24"/>
    </row>
    <row r="5" spans="1:34">
      <c r="B5" t="s">
        <v>121</v>
      </c>
      <c r="C5" s="93">
        <v>650</v>
      </c>
      <c r="D5" s="94"/>
      <c r="E5" s="95">
        <v>140</v>
      </c>
      <c r="G5" s="96">
        <v>44</v>
      </c>
      <c r="I5" s="97">
        <v>21</v>
      </c>
      <c r="K5" t="s">
        <v>121</v>
      </c>
      <c r="L5" s="93">
        <v>650</v>
      </c>
      <c r="N5" s="95">
        <v>140</v>
      </c>
      <c r="P5" s="96">
        <f>G5</f>
        <v>44</v>
      </c>
      <c r="R5" s="97">
        <f>I5</f>
        <v>21</v>
      </c>
      <c r="T5" s="98"/>
      <c r="W5" s="4"/>
      <c r="X5" s="24"/>
      <c r="Z5" s="24"/>
    </row>
    <row r="6" spans="1:34">
      <c r="B6" t="s">
        <v>122</v>
      </c>
      <c r="C6" s="99">
        <v>1.22</v>
      </c>
      <c r="D6" s="100"/>
      <c r="E6" s="101">
        <v>6.02</v>
      </c>
      <c r="F6" s="4"/>
      <c r="G6" s="102">
        <v>5.88</v>
      </c>
      <c r="H6" s="4"/>
      <c r="I6" s="103">
        <v>8.6199999999999992</v>
      </c>
      <c r="K6" t="s">
        <v>122</v>
      </c>
      <c r="L6" s="99">
        <f>C6</f>
        <v>1.22</v>
      </c>
      <c r="M6" s="4"/>
      <c r="N6" s="101">
        <f>E6</f>
        <v>6.02</v>
      </c>
      <c r="O6" s="4"/>
      <c r="P6" s="102">
        <f>G6</f>
        <v>5.88</v>
      </c>
      <c r="Q6" s="4"/>
      <c r="R6" s="103">
        <f>I6</f>
        <v>8.6199999999999992</v>
      </c>
      <c r="T6" s="98"/>
      <c r="W6" s="4"/>
      <c r="X6" s="24"/>
      <c r="Z6" s="24"/>
      <c r="AE6" s="4"/>
      <c r="AF6" s="4"/>
      <c r="AG6" s="4"/>
      <c r="AH6" s="4"/>
    </row>
    <row r="7" spans="1:34">
      <c r="B7" t="s">
        <v>123</v>
      </c>
      <c r="C7" s="93">
        <v>500</v>
      </c>
      <c r="D7" s="94"/>
      <c r="E7" s="95">
        <v>110</v>
      </c>
      <c r="G7" s="96">
        <v>44</v>
      </c>
      <c r="I7" s="97">
        <v>10</v>
      </c>
      <c r="K7" t="s">
        <v>123</v>
      </c>
      <c r="L7" s="93">
        <v>650</v>
      </c>
      <c r="N7" s="95">
        <v>110</v>
      </c>
      <c r="P7" s="96">
        <f>G7</f>
        <v>44</v>
      </c>
      <c r="R7" s="97">
        <v>26.4</v>
      </c>
      <c r="T7" s="98"/>
      <c r="W7" s="4"/>
      <c r="X7" s="24"/>
      <c r="Z7" s="24"/>
    </row>
    <row r="8" spans="1:34">
      <c r="B8" t="s">
        <v>124</v>
      </c>
      <c r="C8" s="99">
        <v>1.3</v>
      </c>
      <c r="D8" s="100"/>
      <c r="E8" s="101">
        <v>6.02</v>
      </c>
      <c r="F8" s="4"/>
      <c r="G8" s="102">
        <v>7</v>
      </c>
      <c r="H8" s="4"/>
      <c r="I8" s="103">
        <v>9</v>
      </c>
      <c r="K8" t="s">
        <v>124</v>
      </c>
      <c r="L8" s="99">
        <v>0.67</v>
      </c>
      <c r="M8" s="4"/>
      <c r="N8" s="101">
        <v>4.7</v>
      </c>
      <c r="O8" s="4"/>
      <c r="P8" s="102">
        <v>4.8600000000000003</v>
      </c>
      <c r="Q8" s="4"/>
      <c r="R8" s="103">
        <v>7.69</v>
      </c>
      <c r="T8" s="98"/>
      <c r="W8" s="4"/>
      <c r="X8" s="24"/>
      <c r="Z8" s="24"/>
      <c r="AE8" s="4"/>
      <c r="AF8" s="4"/>
      <c r="AG8" s="4"/>
      <c r="AH8" s="4"/>
    </row>
    <row r="9" spans="1:34">
      <c r="B9" t="s">
        <v>125</v>
      </c>
      <c r="C9" s="99">
        <f>C6*C5*C4</f>
        <v>515.45000000000005</v>
      </c>
      <c r="D9" s="100"/>
      <c r="E9" s="101">
        <f t="shared" ref="E9:G9" si="0">E6*E5*E4</f>
        <v>632.09999999999991</v>
      </c>
      <c r="F9" s="4"/>
      <c r="G9" s="102">
        <f t="shared" si="0"/>
        <v>168.16799999999998</v>
      </c>
      <c r="H9" s="4"/>
      <c r="I9" s="103">
        <f>I6*I5*I4</f>
        <v>117.663</v>
      </c>
      <c r="K9" t="s">
        <v>125</v>
      </c>
      <c r="L9" s="99">
        <f>L6*L5*L4</f>
        <v>515.45000000000005</v>
      </c>
      <c r="M9" s="4"/>
      <c r="N9" s="101">
        <f t="shared" ref="N9" si="1">N6*N5*N4</f>
        <v>632.09999999999991</v>
      </c>
      <c r="O9" s="4"/>
      <c r="P9" s="102">
        <f t="shared" ref="P9" si="2">P6*P5*P4</f>
        <v>168.16799999999998</v>
      </c>
      <c r="Q9" s="4"/>
      <c r="R9" s="103">
        <f>R6*R5*R4</f>
        <v>117.663</v>
      </c>
      <c r="T9" s="98"/>
      <c r="W9" s="4"/>
      <c r="X9" s="24"/>
      <c r="Z9" s="24"/>
      <c r="AE9" s="4"/>
      <c r="AF9" s="4"/>
      <c r="AG9" s="4"/>
      <c r="AH9" s="4"/>
    </row>
    <row r="10" spans="1:34">
      <c r="B10" t="s">
        <v>126</v>
      </c>
      <c r="C10" s="99">
        <f>C8*C5*C4</f>
        <v>549.25</v>
      </c>
      <c r="D10" s="100"/>
      <c r="E10" s="101">
        <f t="shared" ref="E10:G10" si="3">E8*E5*E4</f>
        <v>632.09999999999991</v>
      </c>
      <c r="F10" s="4"/>
      <c r="G10" s="102">
        <f t="shared" si="3"/>
        <v>200.20000000000002</v>
      </c>
      <c r="H10" s="4"/>
      <c r="I10" s="103">
        <f>I8*I5*I4</f>
        <v>122.85000000000001</v>
      </c>
      <c r="K10" t="s">
        <v>126</v>
      </c>
      <c r="L10" s="99">
        <f>L8*L5*L4</f>
        <v>283.07499999999999</v>
      </c>
      <c r="M10" s="4"/>
      <c r="N10" s="101">
        <f t="shared" ref="N10" si="4">N8*N5*N4</f>
        <v>493.5</v>
      </c>
      <c r="O10" s="4"/>
      <c r="P10" s="102">
        <f t="shared" ref="P10" si="5">P8*P5*P4</f>
        <v>138.99600000000001</v>
      </c>
      <c r="Q10" s="4"/>
      <c r="R10" s="103">
        <f>R8*R5*R4</f>
        <v>104.96850000000001</v>
      </c>
      <c r="T10" s="98"/>
      <c r="W10" s="4"/>
      <c r="X10" s="24"/>
      <c r="Z10" s="24"/>
      <c r="AE10" s="4"/>
      <c r="AF10" s="4"/>
      <c r="AG10" s="4"/>
      <c r="AH10" s="4"/>
    </row>
    <row r="11" spans="1:34">
      <c r="B11" t="s">
        <v>127</v>
      </c>
      <c r="C11" s="99">
        <f>C8*C7</f>
        <v>650</v>
      </c>
      <c r="D11" s="100"/>
      <c r="E11" s="101">
        <f>E8*E7</f>
        <v>662.19999999999993</v>
      </c>
      <c r="F11" s="4"/>
      <c r="G11" s="102">
        <f>G8*G7</f>
        <v>308</v>
      </c>
      <c r="H11" s="4"/>
      <c r="I11" s="103">
        <f>I8*I7</f>
        <v>90</v>
      </c>
      <c r="K11" t="s">
        <v>127</v>
      </c>
      <c r="L11" s="99">
        <f>L8*L7</f>
        <v>435.5</v>
      </c>
      <c r="M11" s="4"/>
      <c r="N11" s="101">
        <f>N8*N7</f>
        <v>517</v>
      </c>
      <c r="O11" s="4"/>
      <c r="P11" s="102">
        <f>P8*P7</f>
        <v>213.84</v>
      </c>
      <c r="Q11" s="4"/>
      <c r="R11" s="103">
        <f>R8*R7</f>
        <v>203.01599999999999</v>
      </c>
      <c r="T11" s="98"/>
      <c r="W11" s="4"/>
      <c r="X11" s="24"/>
      <c r="Z11" s="24"/>
      <c r="AE11" s="4"/>
      <c r="AF11" s="4"/>
      <c r="AG11" s="4"/>
      <c r="AH11" s="4"/>
    </row>
    <row r="12" spans="1:34">
      <c r="B12" t="s">
        <v>128</v>
      </c>
      <c r="C12" s="104">
        <f>IF(C11&lt;C10,C10-C11,0)</f>
        <v>0</v>
      </c>
      <c r="D12" s="105"/>
      <c r="E12" s="106">
        <f>IF(E10&gt;E11,E10-E11,0)</f>
        <v>0</v>
      </c>
      <c r="F12" s="24"/>
      <c r="G12" s="107">
        <f>IF(G10&gt;G11,G10-G11,0)</f>
        <v>0</v>
      </c>
      <c r="H12" s="24"/>
      <c r="I12" s="108">
        <f>IF(I11&lt;I10,I10-I11,0)</f>
        <v>32.850000000000009</v>
      </c>
      <c r="K12" t="s">
        <v>128</v>
      </c>
      <c r="L12" s="104">
        <f>IF(L11&lt;L9,L9-L11,0)</f>
        <v>79.950000000000045</v>
      </c>
      <c r="M12" s="24"/>
      <c r="N12" s="106">
        <f>IF(N11&lt;N9,N9-N11,0)</f>
        <v>115.09999999999991</v>
      </c>
      <c r="O12" s="24"/>
      <c r="P12" s="107">
        <f>IF(P11&lt;P9,P9-P11,0)</f>
        <v>0</v>
      </c>
      <c r="Q12" s="24"/>
      <c r="R12" s="108">
        <f>IF(R11&lt;R9,R9-R11,0)</f>
        <v>0</v>
      </c>
      <c r="T12" s="98"/>
      <c r="W12" s="4"/>
      <c r="X12" s="24"/>
      <c r="Z12" s="24"/>
      <c r="AE12" s="24"/>
      <c r="AF12" s="24"/>
      <c r="AG12" s="24"/>
      <c r="AH12" s="24"/>
    </row>
    <row r="13" spans="1:34">
      <c r="C13" s="93"/>
      <c r="D13" s="94"/>
      <c r="E13" s="95"/>
      <c r="G13" s="96"/>
      <c r="I13" s="97"/>
      <c r="L13" s="93"/>
      <c r="N13" s="95"/>
      <c r="P13" s="96"/>
      <c r="R13" s="97"/>
      <c r="T13" s="98"/>
      <c r="W13" s="4"/>
      <c r="X13" s="24"/>
      <c r="Z13" s="24"/>
    </row>
    <row r="14" spans="1:34">
      <c r="B14" t="s">
        <v>129</v>
      </c>
      <c r="C14" s="93">
        <v>500</v>
      </c>
      <c r="D14" s="94"/>
      <c r="E14" s="95">
        <v>500</v>
      </c>
      <c r="G14" s="96">
        <v>500</v>
      </c>
      <c r="I14" s="97">
        <v>1000</v>
      </c>
      <c r="K14" t="s">
        <v>129</v>
      </c>
      <c r="L14" s="93">
        <v>500</v>
      </c>
      <c r="N14" s="95">
        <v>500</v>
      </c>
      <c r="P14" s="96">
        <v>500</v>
      </c>
      <c r="R14" s="97">
        <v>1000</v>
      </c>
      <c r="T14" s="98"/>
      <c r="W14" s="4"/>
      <c r="X14" s="24"/>
      <c r="Z14" s="24"/>
    </row>
    <row r="15" spans="1:34">
      <c r="B15" t="s">
        <v>130</v>
      </c>
      <c r="C15" s="109">
        <f>C5*C14</f>
        <v>325000</v>
      </c>
      <c r="D15" s="110"/>
      <c r="E15" s="111">
        <f>E5*E14</f>
        <v>70000</v>
      </c>
      <c r="F15" s="22"/>
      <c r="G15" s="112">
        <f>G5*G14</f>
        <v>22000</v>
      </c>
      <c r="H15" s="22">
        <f>H5*H14</f>
        <v>0</v>
      </c>
      <c r="I15" s="113">
        <f>I5*I14</f>
        <v>21000</v>
      </c>
      <c r="K15" t="s">
        <v>130</v>
      </c>
      <c r="L15" s="109">
        <f>L5*L14</f>
        <v>325000</v>
      </c>
      <c r="N15" s="111">
        <f>N5*N14</f>
        <v>70000</v>
      </c>
      <c r="P15" s="112">
        <f>P5*P14</f>
        <v>22000</v>
      </c>
      <c r="R15" s="113">
        <f>R5*R14</f>
        <v>21000</v>
      </c>
      <c r="T15" s="98"/>
      <c r="W15" s="4"/>
      <c r="X15" s="24"/>
      <c r="Z15" s="24"/>
    </row>
    <row r="16" spans="1:34">
      <c r="B16" t="s">
        <v>49</v>
      </c>
      <c r="C16" s="99">
        <v>-7.0000000000000007E-2</v>
      </c>
      <c r="D16" s="100"/>
      <c r="E16" s="101">
        <v>-40</v>
      </c>
      <c r="F16" s="4"/>
      <c r="G16" s="102">
        <v>-0.6</v>
      </c>
      <c r="H16" s="4">
        <v>-0.2</v>
      </c>
      <c r="I16" s="103">
        <v>-0.6</v>
      </c>
      <c r="K16" t="s">
        <v>49</v>
      </c>
      <c r="L16" s="99">
        <v>-7.0000000000000007E-2</v>
      </c>
      <c r="N16" s="101">
        <v>-40</v>
      </c>
      <c r="P16" s="102">
        <v>-0.6</v>
      </c>
      <c r="R16" s="103">
        <f>I16</f>
        <v>-0.6</v>
      </c>
      <c r="T16" s="98"/>
      <c r="W16" s="4"/>
      <c r="X16" s="24"/>
      <c r="Z16" s="24"/>
    </row>
    <row r="17" spans="2:26">
      <c r="B17" t="s">
        <v>131</v>
      </c>
      <c r="C17" s="109">
        <v>300000</v>
      </c>
      <c r="D17" s="110"/>
      <c r="E17" s="111">
        <v>0</v>
      </c>
      <c r="F17" s="22"/>
      <c r="G17" s="112">
        <v>0</v>
      </c>
      <c r="H17" s="22">
        <v>37375</v>
      </c>
      <c r="I17" s="113">
        <v>15000</v>
      </c>
      <c r="K17" t="s">
        <v>131</v>
      </c>
      <c r="L17" s="109">
        <f>C17</f>
        <v>300000</v>
      </c>
      <c r="N17" s="111">
        <v>0</v>
      </c>
      <c r="P17" s="112">
        <v>0</v>
      </c>
      <c r="R17" s="113">
        <f>I17</f>
        <v>15000</v>
      </c>
      <c r="T17" s="98"/>
      <c r="W17" s="4"/>
      <c r="X17" s="24"/>
      <c r="Z17" s="24"/>
    </row>
    <row r="18" spans="2:26">
      <c r="B18" t="s">
        <v>132</v>
      </c>
      <c r="C18" s="99">
        <v>1</v>
      </c>
      <c r="D18" s="100"/>
      <c r="E18" s="101">
        <v>5.3</v>
      </c>
      <c r="F18" s="4"/>
      <c r="G18" s="102">
        <v>5.3</v>
      </c>
      <c r="H18" s="4">
        <v>5.3</v>
      </c>
      <c r="I18" s="103">
        <v>8</v>
      </c>
      <c r="K18" t="s">
        <v>132</v>
      </c>
      <c r="L18" s="99">
        <v>1</v>
      </c>
      <c r="N18" s="101">
        <v>5.3</v>
      </c>
      <c r="P18" s="102">
        <v>5.3</v>
      </c>
      <c r="R18" s="103">
        <v>6</v>
      </c>
      <c r="T18" s="98"/>
      <c r="W18" s="4"/>
      <c r="X18" s="24"/>
      <c r="Z18" s="24"/>
    </row>
    <row r="19" spans="2:26">
      <c r="B19" t="s">
        <v>133</v>
      </c>
      <c r="C19" s="109">
        <f>C14*C7</f>
        <v>250000</v>
      </c>
      <c r="D19" s="110"/>
      <c r="E19" s="111">
        <f>E14*E7</f>
        <v>55000</v>
      </c>
      <c r="F19" s="22"/>
      <c r="G19" s="112">
        <f>G14*G7</f>
        <v>22000</v>
      </c>
      <c r="H19" s="22">
        <f>H14*H7</f>
        <v>0</v>
      </c>
      <c r="I19" s="113">
        <f>I14*I7</f>
        <v>10000</v>
      </c>
      <c r="K19" t="s">
        <v>133</v>
      </c>
      <c r="L19" s="109">
        <f>L14*L7</f>
        <v>325000</v>
      </c>
      <c r="N19" s="111">
        <f>N14*N7</f>
        <v>55000</v>
      </c>
      <c r="P19" s="112">
        <f>P14*P7</f>
        <v>22000</v>
      </c>
      <c r="R19" s="113">
        <f>R14*R7</f>
        <v>26400</v>
      </c>
      <c r="T19" s="98"/>
      <c r="W19" s="4"/>
      <c r="X19" s="24"/>
      <c r="Z19" s="24"/>
    </row>
    <row r="20" spans="2:26">
      <c r="B20" t="s">
        <v>134</v>
      </c>
      <c r="C20" s="104">
        <f>C8+C16</f>
        <v>1.23</v>
      </c>
      <c r="D20" s="105"/>
      <c r="E20" s="106">
        <f>E8+E16</f>
        <v>-33.980000000000004</v>
      </c>
      <c r="F20" s="24"/>
      <c r="G20" s="107">
        <f>G8+G16</f>
        <v>6.4</v>
      </c>
      <c r="H20" s="24">
        <f>H8+H16</f>
        <v>-0.2</v>
      </c>
      <c r="I20" s="108">
        <f>I8+I16</f>
        <v>8.4</v>
      </c>
      <c r="K20" t="s">
        <v>134</v>
      </c>
      <c r="L20" s="104">
        <f>L8+L16</f>
        <v>0.60000000000000009</v>
      </c>
      <c r="N20" s="106">
        <f>N8+N16</f>
        <v>-35.299999999999997</v>
      </c>
      <c r="P20" s="107">
        <f>P8+P16</f>
        <v>4.2600000000000007</v>
      </c>
      <c r="R20" s="108">
        <f>R8+R16</f>
        <v>7.0900000000000007</v>
      </c>
      <c r="T20" s="98"/>
      <c r="W20" s="4"/>
      <c r="X20" s="24"/>
      <c r="Z20" s="24"/>
    </row>
    <row r="21" spans="2:26">
      <c r="B21" t="s">
        <v>135</v>
      </c>
      <c r="C21" s="99">
        <f t="shared" ref="C21" si="6">C18*C17</f>
        <v>300000</v>
      </c>
      <c r="D21" s="100"/>
      <c r="E21" s="101">
        <f>E18*E17</f>
        <v>0</v>
      </c>
      <c r="F21" s="4"/>
      <c r="G21" s="102">
        <f>G18*G17</f>
        <v>0</v>
      </c>
      <c r="H21" s="4">
        <f t="shared" ref="H21:I21" si="7">H18*H17</f>
        <v>198087.5</v>
      </c>
      <c r="I21" s="103">
        <f t="shared" si="7"/>
        <v>120000</v>
      </c>
      <c r="K21" t="s">
        <v>135</v>
      </c>
      <c r="L21" s="99">
        <f t="shared" ref="L21" si="8">L18*L17</f>
        <v>300000</v>
      </c>
      <c r="N21" s="101">
        <f>N18*N17</f>
        <v>0</v>
      </c>
      <c r="P21" s="102">
        <f>P18*P17</f>
        <v>0</v>
      </c>
      <c r="R21" s="103">
        <f t="shared" ref="R21" si="9">R18*R17</f>
        <v>90000</v>
      </c>
      <c r="T21" s="98"/>
      <c r="W21" s="4"/>
      <c r="X21" s="24"/>
      <c r="Z21" s="24"/>
    </row>
    <row r="22" spans="2:26">
      <c r="B22" t="s">
        <v>136</v>
      </c>
      <c r="C22" s="109">
        <f t="shared" ref="C22" si="10">IF(C19&lt;C17,C17-C19,0)</f>
        <v>50000</v>
      </c>
      <c r="D22" s="110"/>
      <c r="E22" s="111">
        <f>IF(E19&lt;E17,E17-E19,0)</f>
        <v>0</v>
      </c>
      <c r="F22" s="22"/>
      <c r="G22" s="112">
        <f>IF(G19&lt;G17,G17-G19,0)</f>
        <v>0</v>
      </c>
      <c r="H22" s="22">
        <f t="shared" ref="H22:I22" si="11">IF(H19&lt;H17,H17-H19,0)</f>
        <v>37375</v>
      </c>
      <c r="I22" s="113">
        <f t="shared" si="11"/>
        <v>5000</v>
      </c>
      <c r="K22" t="s">
        <v>136</v>
      </c>
      <c r="L22" s="109">
        <f t="shared" ref="L22" si="12">IF(L19&lt;L17,L17-L19,0)</f>
        <v>0</v>
      </c>
      <c r="N22" s="111">
        <f>IF(N19&lt;N17,N17-N19,0)</f>
        <v>0</v>
      </c>
      <c r="P22" s="112">
        <f>IF(P19&lt;P17,P17-P19,0)</f>
        <v>0</v>
      </c>
      <c r="R22" s="113">
        <f t="shared" ref="R22" si="13">IF(R19&lt;R17,R17-R19,0)</f>
        <v>0</v>
      </c>
      <c r="T22" s="98"/>
      <c r="W22" s="4"/>
      <c r="X22" s="24"/>
      <c r="Y22" s="4"/>
      <c r="Z22" s="24"/>
    </row>
    <row r="23" spans="2:26">
      <c r="B23" t="s">
        <v>137</v>
      </c>
      <c r="C23" s="104">
        <f t="shared" ref="C23" si="14">C22*C20</f>
        <v>61500</v>
      </c>
      <c r="D23" s="105"/>
      <c r="E23" s="106">
        <f>E22*E20</f>
        <v>0</v>
      </c>
      <c r="F23" s="24"/>
      <c r="G23" s="107">
        <f>G22*G20</f>
        <v>0</v>
      </c>
      <c r="H23" s="24">
        <f t="shared" ref="H23:I23" si="15">H22*H20</f>
        <v>-7475</v>
      </c>
      <c r="I23" s="108">
        <f t="shared" si="15"/>
        <v>42000</v>
      </c>
      <c r="K23" t="s">
        <v>137</v>
      </c>
      <c r="L23" s="104">
        <f t="shared" ref="L23" si="16">L22*L20</f>
        <v>0</v>
      </c>
      <c r="N23" s="106">
        <f>N22*N20</f>
        <v>0</v>
      </c>
      <c r="P23" s="107">
        <f>P22*P20</f>
        <v>0</v>
      </c>
      <c r="R23" s="108">
        <f t="shared" ref="R23" si="17">R22*R20</f>
        <v>0</v>
      </c>
      <c r="T23" s="98"/>
      <c r="W23" s="4"/>
      <c r="X23" s="24"/>
      <c r="Y23" s="4"/>
      <c r="Z23" s="24"/>
    </row>
    <row r="24" spans="2:26">
      <c r="B24" t="s">
        <v>138</v>
      </c>
      <c r="C24" s="109">
        <f t="shared" ref="C24" si="18">IF(C19&gt;C17,C19-C17,0)</f>
        <v>0</v>
      </c>
      <c r="D24" s="110"/>
      <c r="E24" s="111">
        <f>IF(E19&gt;E17,E19-E17,0)</f>
        <v>55000</v>
      </c>
      <c r="F24" s="22"/>
      <c r="G24" s="112">
        <f>IF(G19&gt;G17,G19-G17,0)</f>
        <v>22000</v>
      </c>
      <c r="H24" s="22">
        <f t="shared" ref="H24:I24" si="19">IF(H19&gt;H17,H19-H17,0)</f>
        <v>0</v>
      </c>
      <c r="I24" s="113">
        <f t="shared" si="19"/>
        <v>0</v>
      </c>
      <c r="K24" t="s">
        <v>138</v>
      </c>
      <c r="L24" s="109">
        <f t="shared" ref="L24" si="20">IF(L19&gt;L17,L19-L17,0)</f>
        <v>25000</v>
      </c>
      <c r="N24" s="111">
        <f>IF(N19&gt;N17,N19-N17,0)</f>
        <v>55000</v>
      </c>
      <c r="P24" s="112">
        <f>IF(P19&gt;P17,P19-P17,0)</f>
        <v>22000</v>
      </c>
      <c r="R24" s="113">
        <f t="shared" ref="R24" si="21">IF(R19&gt;R17,R19-R17,0)</f>
        <v>11400</v>
      </c>
      <c r="T24" s="98"/>
      <c r="W24" s="4"/>
      <c r="X24" s="24"/>
      <c r="Y24" s="4"/>
      <c r="Z24" s="24"/>
    </row>
    <row r="25" spans="2:26">
      <c r="B25" t="s">
        <v>139</v>
      </c>
      <c r="C25" s="104">
        <f t="shared" ref="C25" si="22">C24*C20</f>
        <v>0</v>
      </c>
      <c r="D25" s="105"/>
      <c r="E25" s="106">
        <f>E24*E20</f>
        <v>-1868900.0000000002</v>
      </c>
      <c r="F25" s="24"/>
      <c r="G25" s="107">
        <f>G24*G20</f>
        <v>140800</v>
      </c>
      <c r="H25" s="24">
        <f t="shared" ref="H25:I25" si="23">H24*H20</f>
        <v>0</v>
      </c>
      <c r="I25" s="108">
        <f t="shared" si="23"/>
        <v>0</v>
      </c>
      <c r="K25" t="s">
        <v>139</v>
      </c>
      <c r="L25" s="104">
        <f t="shared" ref="L25" si="24">L24*L20</f>
        <v>15000.000000000002</v>
      </c>
      <c r="N25" s="106">
        <f>N24*N20</f>
        <v>-1941499.9999999998</v>
      </c>
      <c r="P25" s="107">
        <f>P24*P20</f>
        <v>93720.000000000015</v>
      </c>
      <c r="R25" s="108">
        <f t="shared" ref="R25" si="25">R24*R20</f>
        <v>80826.000000000015</v>
      </c>
      <c r="T25" s="98"/>
      <c r="W25" s="4"/>
      <c r="X25" s="24"/>
      <c r="Y25" s="4"/>
      <c r="Z25" s="24"/>
    </row>
    <row r="26" spans="2:26">
      <c r="B26" t="s">
        <v>140</v>
      </c>
      <c r="C26" s="104">
        <f>C12*C14</f>
        <v>0</v>
      </c>
      <c r="D26" s="105"/>
      <c r="E26" s="106">
        <f>E12*E14</f>
        <v>0</v>
      </c>
      <c r="F26" s="24"/>
      <c r="G26" s="107">
        <f>G12*G14</f>
        <v>0</v>
      </c>
      <c r="H26" s="24">
        <f>H12*H14</f>
        <v>0</v>
      </c>
      <c r="I26" s="108">
        <f>I12*I14</f>
        <v>32850.000000000007</v>
      </c>
      <c r="K26" t="s">
        <v>140</v>
      </c>
      <c r="L26" s="104">
        <f>L12*L14</f>
        <v>39975.000000000022</v>
      </c>
      <c r="N26" s="106">
        <f>N12*N14</f>
        <v>57549.999999999956</v>
      </c>
      <c r="P26" s="107">
        <f>P12*P14</f>
        <v>0</v>
      </c>
      <c r="R26" s="108">
        <f>R12*R14</f>
        <v>0</v>
      </c>
      <c r="T26" s="98"/>
      <c r="W26" s="4"/>
      <c r="X26" s="24"/>
      <c r="Y26" s="4"/>
      <c r="Z26" s="24"/>
    </row>
    <row r="27" spans="2:26">
      <c r="B27" t="s">
        <v>141</v>
      </c>
      <c r="C27" s="104">
        <f t="shared" ref="C27" si="26">C21-C23++C25+C26</f>
        <v>238500</v>
      </c>
      <c r="D27" s="105"/>
      <c r="E27" s="106">
        <f>E21-E23++E25+E26</f>
        <v>-1868900.0000000002</v>
      </c>
      <c r="F27" s="24"/>
      <c r="G27" s="107">
        <f>G21-G23++G25+G26</f>
        <v>140800</v>
      </c>
      <c r="H27" s="24">
        <f t="shared" ref="H27:I27" si="27">H21-H23++H25+H26</f>
        <v>205562.5</v>
      </c>
      <c r="I27" s="108">
        <f t="shared" si="27"/>
        <v>110850</v>
      </c>
      <c r="K27" t="s">
        <v>141</v>
      </c>
      <c r="L27" s="104">
        <f t="shared" ref="L27" si="28">L21-L23++L25+L26</f>
        <v>354975</v>
      </c>
      <c r="N27" s="106">
        <f>N21-N23++N25+N26</f>
        <v>-1883949.9999999998</v>
      </c>
      <c r="P27" s="107">
        <f>P21-P23++P25+P26</f>
        <v>93720.000000000015</v>
      </c>
      <c r="R27" s="108">
        <f t="shared" ref="R27" si="29">R21-R23++R25+R26</f>
        <v>170826</v>
      </c>
      <c r="T27" s="98"/>
      <c r="W27" s="4"/>
      <c r="X27" s="24"/>
      <c r="Y27" s="4"/>
      <c r="Z27" s="24"/>
    </row>
    <row r="28" spans="2:26">
      <c r="C28" s="93"/>
      <c r="D28" s="94"/>
      <c r="E28" s="95"/>
      <c r="G28" s="96"/>
      <c r="I28" s="97"/>
      <c r="L28" s="93"/>
      <c r="N28" s="95"/>
      <c r="P28" s="96"/>
      <c r="R28" s="97"/>
      <c r="T28" s="98"/>
      <c r="W28" s="4"/>
      <c r="X28" s="24"/>
      <c r="Y28" s="4"/>
      <c r="Z28" s="24"/>
    </row>
    <row r="29" spans="2:26">
      <c r="B29" t="s">
        <v>142</v>
      </c>
      <c r="C29" s="99">
        <v>600</v>
      </c>
      <c r="D29" s="100"/>
      <c r="E29" s="101">
        <v>250</v>
      </c>
      <c r="F29" s="4"/>
      <c r="G29" s="102">
        <v>250</v>
      </c>
      <c r="H29" s="4">
        <v>451</v>
      </c>
      <c r="I29" s="103">
        <v>200</v>
      </c>
      <c r="K29" t="s">
        <v>142</v>
      </c>
      <c r="L29" s="99">
        <v>600</v>
      </c>
      <c r="N29" s="101">
        <v>250</v>
      </c>
      <c r="P29" s="102">
        <f>G29</f>
        <v>250</v>
      </c>
      <c r="R29" s="103">
        <v>125</v>
      </c>
    </row>
    <row r="30" spans="2:26">
      <c r="B30" t="s">
        <v>85</v>
      </c>
      <c r="C30" s="104">
        <f>C29*C14</f>
        <v>300000</v>
      </c>
      <c r="D30" s="105"/>
      <c r="E30" s="106">
        <f>E29*E14</f>
        <v>125000</v>
      </c>
      <c r="F30" s="24"/>
      <c r="G30" s="107">
        <f>G29*G14</f>
        <v>125000</v>
      </c>
      <c r="H30" s="24">
        <f>H29*H14</f>
        <v>0</v>
      </c>
      <c r="I30" s="108">
        <f>I29*I14</f>
        <v>200000</v>
      </c>
      <c r="K30" t="s">
        <v>85</v>
      </c>
      <c r="L30" s="104">
        <f>L29*L14</f>
        <v>300000</v>
      </c>
      <c r="N30" s="106">
        <f>N29*N14</f>
        <v>125000</v>
      </c>
      <c r="P30" s="107">
        <f>P29*P14</f>
        <v>125000</v>
      </c>
      <c r="R30" s="108">
        <f>R29*R14</f>
        <v>125000</v>
      </c>
    </row>
    <row r="31" spans="2:26">
      <c r="C31" s="93"/>
      <c r="D31" s="94"/>
      <c r="E31" s="95"/>
      <c r="G31" s="96"/>
      <c r="I31" s="97"/>
      <c r="L31" s="93"/>
      <c r="N31" s="95"/>
      <c r="P31" s="96"/>
      <c r="R31" s="97"/>
    </row>
    <row r="32" spans="2:26" ht="13.5" thickBot="1">
      <c r="B32" t="s">
        <v>143</v>
      </c>
      <c r="C32" s="114">
        <f t="shared" ref="C32" si="30">C27-C30</f>
        <v>-61500</v>
      </c>
      <c r="D32" s="105"/>
      <c r="E32" s="115">
        <f>E27-E30</f>
        <v>-1993900.0000000002</v>
      </c>
      <c r="F32" s="24"/>
      <c r="G32" s="116">
        <f>G27-G30</f>
        <v>15800</v>
      </c>
      <c r="H32" s="24">
        <f t="shared" ref="H32:I32" si="31">H27-H30</f>
        <v>205562.5</v>
      </c>
      <c r="I32" s="117">
        <f t="shared" si="31"/>
        <v>-89150</v>
      </c>
      <c r="K32" t="s">
        <v>143</v>
      </c>
      <c r="L32" s="114">
        <f t="shared" ref="L32" si="32">L27-L30</f>
        <v>54975</v>
      </c>
      <c r="N32" s="115">
        <f>N27-N30</f>
        <v>-2008949.9999999998</v>
      </c>
      <c r="P32" s="116">
        <f>P27-P30</f>
        <v>-31279.999999999985</v>
      </c>
      <c r="R32" s="117">
        <f t="shared" ref="R32" si="33">R27-R30</f>
        <v>45826</v>
      </c>
    </row>
    <row r="38" spans="1:23" s="83" customFormat="1">
      <c r="A38" s="83" t="s">
        <v>144</v>
      </c>
      <c r="E38"/>
      <c r="G38" t="s">
        <v>145</v>
      </c>
      <c r="N38"/>
    </row>
    <row r="39" spans="1:23" ht="13.5" thickBot="1">
      <c r="K39" s="2"/>
      <c r="L39" s="2"/>
      <c r="M39" s="2"/>
      <c r="O39" s="2"/>
      <c r="P39" s="2"/>
      <c r="Q39" s="2"/>
      <c r="R39" s="2"/>
      <c r="S39" s="2"/>
      <c r="T39" s="2"/>
      <c r="U39" s="2"/>
    </row>
    <row r="40" spans="1:23">
      <c r="B40" s="23"/>
      <c r="C40" s="86" t="s">
        <v>8</v>
      </c>
      <c r="D40" s="87"/>
      <c r="E40" s="88" t="s">
        <v>36</v>
      </c>
      <c r="F40" s="89"/>
      <c r="G40" s="90" t="s">
        <v>119</v>
      </c>
      <c r="H40" s="89"/>
      <c r="I40" s="91" t="s">
        <v>73</v>
      </c>
      <c r="J40" s="89"/>
      <c r="K40" s="3"/>
      <c r="L40" s="3"/>
      <c r="M40" s="3"/>
      <c r="N40" s="3"/>
      <c r="O40" s="3"/>
      <c r="P40" s="118"/>
      <c r="Q40" s="3"/>
      <c r="R40" s="119"/>
      <c r="S40" s="2"/>
      <c r="T40" s="2"/>
      <c r="U40" s="2"/>
    </row>
    <row r="41" spans="1:23">
      <c r="B41" t="s">
        <v>120</v>
      </c>
      <c r="C41" s="93">
        <v>0.65</v>
      </c>
      <c r="D41" s="94"/>
      <c r="E41" s="95">
        <v>0.75</v>
      </c>
      <c r="G41" s="96">
        <v>0.65</v>
      </c>
      <c r="I41" s="97">
        <v>0.65</v>
      </c>
      <c r="K41" s="2"/>
      <c r="L41" s="2"/>
      <c r="M41" s="2"/>
      <c r="N41" s="2"/>
      <c r="O41" s="2"/>
      <c r="P41" s="120"/>
      <c r="Q41" s="2"/>
      <c r="R41" s="2"/>
      <c r="S41" s="2"/>
      <c r="T41" s="2"/>
      <c r="U41" s="2"/>
      <c r="V41" s="2"/>
    </row>
    <row r="42" spans="1:23">
      <c r="B42" t="s">
        <v>121</v>
      </c>
      <c r="C42" s="93">
        <v>900</v>
      </c>
      <c r="D42" s="94"/>
      <c r="E42" s="95">
        <v>140</v>
      </c>
      <c r="G42" s="96">
        <v>44</v>
      </c>
      <c r="I42" s="97">
        <v>40</v>
      </c>
      <c r="K42" s="2"/>
      <c r="L42" s="2"/>
      <c r="M42" s="2"/>
      <c r="N42" s="2"/>
      <c r="O42" s="2"/>
      <c r="P42" s="120"/>
      <c r="Q42" s="120"/>
      <c r="R42" s="120"/>
      <c r="S42" s="120"/>
      <c r="T42" s="120"/>
      <c r="U42" s="120"/>
      <c r="V42" s="4"/>
      <c r="W42" s="4"/>
    </row>
    <row r="43" spans="1:23">
      <c r="B43" t="s">
        <v>122</v>
      </c>
      <c r="C43" s="99">
        <f>C6</f>
        <v>1.22</v>
      </c>
      <c r="D43" s="100"/>
      <c r="E43" s="101">
        <f>E6</f>
        <v>6.02</v>
      </c>
      <c r="F43" s="4"/>
      <c r="G43" s="102">
        <f>G6</f>
        <v>5.88</v>
      </c>
      <c r="H43" s="4"/>
      <c r="I43" s="103">
        <v>7.14</v>
      </c>
      <c r="K43" s="2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4"/>
      <c r="W43" s="4"/>
    </row>
    <row r="44" spans="1:23">
      <c r="B44" t="s">
        <v>123</v>
      </c>
      <c r="C44" s="93">
        <v>700</v>
      </c>
      <c r="D44" s="94"/>
      <c r="E44" s="95">
        <v>75</v>
      </c>
      <c r="G44" s="96">
        <f>G7</f>
        <v>44</v>
      </c>
      <c r="I44" s="97">
        <v>40</v>
      </c>
      <c r="K44" s="2"/>
      <c r="L44" s="2"/>
      <c r="M44" s="2"/>
      <c r="N44" s="2"/>
      <c r="O44" s="2"/>
      <c r="P44" s="120"/>
      <c r="Q44" s="120"/>
      <c r="R44" s="120"/>
      <c r="S44" s="120"/>
      <c r="T44" s="120"/>
      <c r="U44" s="120"/>
      <c r="V44" s="4"/>
      <c r="W44" s="4"/>
    </row>
    <row r="45" spans="1:23">
      <c r="B45" t="s">
        <v>124</v>
      </c>
      <c r="C45" s="99">
        <v>0.9</v>
      </c>
      <c r="D45" s="100"/>
      <c r="E45" s="101">
        <v>7</v>
      </c>
      <c r="F45" s="4"/>
      <c r="G45" s="102">
        <v>4.8600000000000003</v>
      </c>
      <c r="H45" s="4"/>
      <c r="I45" s="103">
        <v>4.5</v>
      </c>
      <c r="K45" s="2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4"/>
      <c r="W45" s="4"/>
    </row>
    <row r="46" spans="1:23">
      <c r="B46" t="s">
        <v>125</v>
      </c>
      <c r="C46" s="99">
        <f>C43*C42*C41</f>
        <v>713.7</v>
      </c>
      <c r="D46" s="100"/>
      <c r="E46" s="101">
        <f t="shared" ref="E46:G46" si="34">E43*E42*E41</f>
        <v>632.09999999999991</v>
      </c>
      <c r="F46" s="4"/>
      <c r="G46" s="102">
        <f t="shared" si="34"/>
        <v>168.16799999999998</v>
      </c>
      <c r="H46" s="4"/>
      <c r="I46" s="103">
        <f>I43*I42*I41</f>
        <v>185.64</v>
      </c>
      <c r="K46" s="2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4"/>
      <c r="W46" s="4"/>
    </row>
    <row r="47" spans="1:23">
      <c r="B47" t="s">
        <v>126</v>
      </c>
      <c r="C47" s="99">
        <f>C45*C42*C41</f>
        <v>526.5</v>
      </c>
      <c r="D47" s="100"/>
      <c r="E47" s="101">
        <f>E46</f>
        <v>632.09999999999991</v>
      </c>
      <c r="F47" s="4"/>
      <c r="G47" s="102">
        <f t="shared" ref="G47" si="35">G45*G42*G41</f>
        <v>138.99600000000001</v>
      </c>
      <c r="H47" s="4"/>
      <c r="I47" s="103">
        <f>I45*I42*I41</f>
        <v>117</v>
      </c>
      <c r="K47" s="2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4"/>
      <c r="W47" s="4"/>
    </row>
    <row r="48" spans="1:23">
      <c r="B48" t="s">
        <v>127</v>
      </c>
      <c r="C48" s="99">
        <f>C45*C44</f>
        <v>630</v>
      </c>
      <c r="D48" s="100"/>
      <c r="E48" s="101">
        <f>E45*E44</f>
        <v>525</v>
      </c>
      <c r="F48" s="4"/>
      <c r="G48" s="102">
        <f>G45*G44</f>
        <v>213.84</v>
      </c>
      <c r="H48" s="4"/>
      <c r="I48" s="103">
        <f>I45*I44</f>
        <v>180</v>
      </c>
      <c r="K48" s="2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4"/>
      <c r="W48" s="4"/>
    </row>
    <row r="49" spans="2:23">
      <c r="B49" t="s">
        <v>128</v>
      </c>
      <c r="C49" s="104">
        <f>IF(C48&lt;C46,C46-C48,0)</f>
        <v>83.700000000000045</v>
      </c>
      <c r="D49" s="105"/>
      <c r="E49" s="106">
        <f>IF(E48&lt;E46,E46-E48,0)</f>
        <v>107.09999999999991</v>
      </c>
      <c r="F49" s="24"/>
      <c r="G49" s="107">
        <f>IF(G48&lt;G46,G46-G48,0)</f>
        <v>0</v>
      </c>
      <c r="H49" s="24"/>
      <c r="I49" s="108">
        <f>IF(I48&lt;I46,I46-I48,0)</f>
        <v>5.6399999999999864</v>
      </c>
      <c r="K49" s="2"/>
      <c r="L49" s="121"/>
      <c r="M49" s="121"/>
      <c r="N49" s="121"/>
      <c r="O49" s="121"/>
      <c r="P49" s="120"/>
      <c r="Q49" s="120"/>
      <c r="R49" s="120"/>
      <c r="S49" s="120"/>
      <c r="T49" s="120"/>
      <c r="U49" s="120"/>
      <c r="V49" s="4"/>
      <c r="W49" s="4"/>
    </row>
    <row r="50" spans="2:23">
      <c r="C50" s="93"/>
      <c r="D50" s="94"/>
      <c r="E50" s="95"/>
      <c r="G50" s="96"/>
      <c r="I50" s="97"/>
      <c r="K50" s="2"/>
      <c r="L50" s="2"/>
      <c r="M50" s="2"/>
      <c r="N50" s="2"/>
      <c r="O50" s="2"/>
      <c r="P50" s="120"/>
      <c r="Q50" s="120"/>
      <c r="R50" s="120"/>
      <c r="S50" s="120"/>
      <c r="T50" s="120"/>
      <c r="U50" s="120"/>
      <c r="V50" s="4"/>
      <c r="W50" s="4"/>
    </row>
    <row r="51" spans="2:23">
      <c r="C51" s="93"/>
      <c r="D51" s="94"/>
      <c r="E51" s="95"/>
      <c r="G51" s="96"/>
      <c r="I51" s="97"/>
      <c r="K51" s="2"/>
      <c r="L51" s="2"/>
      <c r="M51" s="2"/>
      <c r="N51" s="2"/>
      <c r="O51" s="2"/>
      <c r="P51" s="120"/>
      <c r="Q51" s="120"/>
      <c r="R51" s="120"/>
      <c r="S51" s="120"/>
      <c r="T51" s="120"/>
      <c r="U51" s="120"/>
      <c r="V51" s="4"/>
      <c r="W51" s="4"/>
    </row>
    <row r="52" spans="2:23">
      <c r="B52" t="s">
        <v>129</v>
      </c>
      <c r="C52" s="93">
        <v>500</v>
      </c>
      <c r="D52" s="94"/>
      <c r="E52" s="95">
        <v>500</v>
      </c>
      <c r="G52" s="96">
        <v>500</v>
      </c>
      <c r="I52" s="97">
        <v>500</v>
      </c>
      <c r="K52" s="2"/>
      <c r="L52" s="2"/>
      <c r="M52" s="2"/>
      <c r="N52" s="2"/>
      <c r="O52" s="2"/>
      <c r="P52" s="120"/>
      <c r="Q52" s="120"/>
      <c r="R52" s="120"/>
      <c r="S52" s="120"/>
      <c r="T52" s="120"/>
      <c r="U52" s="120"/>
      <c r="V52" s="4"/>
      <c r="W52" s="4"/>
    </row>
    <row r="53" spans="2:23">
      <c r="B53" t="s">
        <v>130</v>
      </c>
      <c r="C53" s="109">
        <f t="shared" ref="C53" si="36">C42*C52</f>
        <v>450000</v>
      </c>
      <c r="D53" s="110"/>
      <c r="E53" s="111">
        <f>E42*E52</f>
        <v>70000</v>
      </c>
      <c r="F53" s="22"/>
      <c r="G53" s="112">
        <f>G42*G52</f>
        <v>22000</v>
      </c>
      <c r="H53" s="22">
        <f t="shared" ref="H53:I53" si="37">H42*H52</f>
        <v>0</v>
      </c>
      <c r="I53" s="113">
        <f t="shared" si="37"/>
        <v>20000</v>
      </c>
      <c r="K53" s="2"/>
      <c r="L53" s="122"/>
      <c r="M53" s="2"/>
      <c r="N53" s="122"/>
      <c r="O53" s="2"/>
      <c r="P53" s="120"/>
      <c r="Q53" s="120"/>
      <c r="R53" s="120"/>
      <c r="S53" s="120"/>
      <c r="T53" s="120"/>
      <c r="U53" s="120"/>
      <c r="V53" s="4"/>
      <c r="W53" s="4"/>
    </row>
    <row r="54" spans="2:23">
      <c r="B54" t="s">
        <v>49</v>
      </c>
      <c r="C54" s="99">
        <v>-7.0000000000000007E-2</v>
      </c>
      <c r="D54" s="100"/>
      <c r="E54" s="101">
        <v>-0.2</v>
      </c>
      <c r="F54" s="4"/>
      <c r="G54" s="102">
        <v>-0.6</v>
      </c>
      <c r="H54" s="4">
        <v>-0.2</v>
      </c>
      <c r="I54" s="103">
        <v>-1.3</v>
      </c>
      <c r="K54" s="2"/>
      <c r="L54" s="120"/>
      <c r="M54" s="2"/>
      <c r="N54" s="120"/>
      <c r="O54" s="2"/>
      <c r="P54" s="120"/>
      <c r="Q54" s="120"/>
      <c r="R54" s="120"/>
      <c r="S54" s="120"/>
      <c r="T54" s="120"/>
      <c r="U54" s="120"/>
      <c r="V54" s="4"/>
      <c r="W54" s="4"/>
    </row>
    <row r="55" spans="2:23">
      <c r="B55" t="s">
        <v>131</v>
      </c>
      <c r="C55" s="109">
        <v>0</v>
      </c>
      <c r="D55" s="110"/>
      <c r="E55" s="111">
        <v>0</v>
      </c>
      <c r="F55" s="22"/>
      <c r="G55" s="112">
        <v>0</v>
      </c>
      <c r="H55" s="22">
        <v>37375</v>
      </c>
      <c r="I55" s="113">
        <v>0</v>
      </c>
      <c r="K55" s="2"/>
      <c r="L55" s="122"/>
      <c r="M55" s="2"/>
      <c r="N55" s="122"/>
      <c r="O55" s="2"/>
      <c r="P55" s="120"/>
      <c r="Q55" s="120"/>
      <c r="R55" s="120"/>
      <c r="S55" s="120"/>
      <c r="T55" s="120"/>
      <c r="U55" s="120"/>
      <c r="V55" s="4"/>
      <c r="W55" s="4"/>
    </row>
    <row r="56" spans="2:23">
      <c r="B56" t="s">
        <v>132</v>
      </c>
      <c r="C56" s="99">
        <v>1</v>
      </c>
      <c r="D56" s="100"/>
      <c r="E56" s="101">
        <v>5.3</v>
      </c>
      <c r="F56" s="4"/>
      <c r="G56" s="102">
        <v>5.3</v>
      </c>
      <c r="H56" s="4">
        <v>5.3</v>
      </c>
      <c r="I56" s="103">
        <v>6</v>
      </c>
      <c r="K56" s="2"/>
      <c r="L56" s="120"/>
      <c r="M56" s="2"/>
      <c r="N56" s="120"/>
      <c r="O56" s="2"/>
      <c r="P56" s="120"/>
      <c r="Q56" s="120"/>
      <c r="R56" s="120"/>
      <c r="S56" s="120"/>
      <c r="T56" s="120"/>
      <c r="U56" s="120"/>
      <c r="V56" s="4"/>
      <c r="W56" s="4"/>
    </row>
    <row r="57" spans="2:23">
      <c r="B57" t="s">
        <v>133</v>
      </c>
      <c r="C57" s="109">
        <f>C52*C44</f>
        <v>350000</v>
      </c>
      <c r="D57" s="110"/>
      <c r="E57" s="111">
        <f>E52*E44</f>
        <v>37500</v>
      </c>
      <c r="F57" s="22"/>
      <c r="G57" s="112">
        <f>G52*G44</f>
        <v>22000</v>
      </c>
      <c r="H57" s="22">
        <f>H52*H44</f>
        <v>0</v>
      </c>
      <c r="I57" s="113">
        <f>I52*I44</f>
        <v>20000</v>
      </c>
      <c r="K57" s="2"/>
      <c r="L57" s="122"/>
      <c r="M57" s="2"/>
      <c r="N57" s="122"/>
      <c r="O57" s="2"/>
      <c r="P57" s="120"/>
      <c r="Q57" s="2"/>
      <c r="R57" s="122"/>
      <c r="S57" s="2"/>
      <c r="T57" s="2"/>
      <c r="U57" s="2"/>
    </row>
    <row r="58" spans="2:23">
      <c r="B58" t="s">
        <v>134</v>
      </c>
      <c r="C58" s="104">
        <f>C45+C54</f>
        <v>0.83000000000000007</v>
      </c>
      <c r="D58" s="105"/>
      <c r="E58" s="106">
        <f>E45+E54</f>
        <v>6.8</v>
      </c>
      <c r="F58" s="24"/>
      <c r="G58" s="107">
        <f>G45+G54</f>
        <v>4.2600000000000007</v>
      </c>
      <c r="H58" s="24">
        <f>H45+H54</f>
        <v>-0.2</v>
      </c>
      <c r="I58" s="108">
        <f>I45+I54</f>
        <v>3.2</v>
      </c>
      <c r="K58" s="2"/>
      <c r="L58" s="121"/>
      <c r="M58" s="2"/>
      <c r="N58" s="121"/>
      <c r="O58" s="2"/>
      <c r="P58" s="120"/>
      <c r="Q58" s="2"/>
      <c r="R58" s="121"/>
      <c r="S58" s="2"/>
      <c r="T58" s="2"/>
      <c r="U58" s="2"/>
    </row>
    <row r="59" spans="2:23">
      <c r="B59" t="s">
        <v>135</v>
      </c>
      <c r="C59" s="99">
        <f t="shared" ref="C59" si="38">C56*C55</f>
        <v>0</v>
      </c>
      <c r="D59" s="100"/>
      <c r="E59" s="101">
        <f>E56*E55</f>
        <v>0</v>
      </c>
      <c r="F59" s="4"/>
      <c r="G59" s="102">
        <f>G56*G55</f>
        <v>0</v>
      </c>
      <c r="H59" s="4">
        <f t="shared" ref="H59:I59" si="39">H56*H55</f>
        <v>198087.5</v>
      </c>
      <c r="I59" s="103">
        <f t="shared" si="39"/>
        <v>0</v>
      </c>
      <c r="K59" s="2"/>
      <c r="L59" s="120"/>
      <c r="M59" s="2"/>
      <c r="N59" s="120"/>
      <c r="O59" s="2"/>
      <c r="P59" s="120"/>
      <c r="Q59" s="2"/>
      <c r="R59" s="120"/>
      <c r="S59" s="2"/>
      <c r="T59" s="2"/>
      <c r="U59" s="2"/>
    </row>
    <row r="60" spans="2:23">
      <c r="B60" t="s">
        <v>136</v>
      </c>
      <c r="C60" s="109">
        <f t="shared" ref="C60" si="40">IF(C57&lt;C55,C55-C57,0)</f>
        <v>0</v>
      </c>
      <c r="D60" s="110"/>
      <c r="E60" s="111">
        <f>IF(E57&lt;E55,E55-E57,0)</f>
        <v>0</v>
      </c>
      <c r="F60" s="22"/>
      <c r="G60" s="112">
        <f>IF(G57&lt;G55,G55-G57,0)</f>
        <v>0</v>
      </c>
      <c r="H60" s="22">
        <f t="shared" ref="H60:I60" si="41">IF(H57&lt;H55,H55-H57,0)</f>
        <v>37375</v>
      </c>
      <c r="I60" s="113">
        <f t="shared" si="41"/>
        <v>0</v>
      </c>
      <c r="K60" s="2"/>
      <c r="L60" s="122"/>
      <c r="M60" s="2"/>
      <c r="N60" s="122"/>
      <c r="O60" s="2"/>
      <c r="P60" s="120"/>
      <c r="Q60" s="2"/>
      <c r="R60" s="122"/>
      <c r="S60" s="2"/>
      <c r="T60" s="2"/>
      <c r="U60" s="2"/>
    </row>
    <row r="61" spans="2:23">
      <c r="B61" t="s">
        <v>137</v>
      </c>
      <c r="C61" s="104">
        <f t="shared" ref="C61" si="42">C60*C58</f>
        <v>0</v>
      </c>
      <c r="D61" s="105"/>
      <c r="E61" s="106">
        <f>E60*E58</f>
        <v>0</v>
      </c>
      <c r="F61" s="24"/>
      <c r="G61" s="107">
        <f>G60*G58</f>
        <v>0</v>
      </c>
      <c r="H61" s="24">
        <f t="shared" ref="H61:I61" si="43">H60*H58</f>
        <v>-7475</v>
      </c>
      <c r="I61" s="108">
        <f t="shared" si="43"/>
        <v>0</v>
      </c>
      <c r="K61" s="2"/>
      <c r="L61" s="121"/>
      <c r="M61" s="2"/>
      <c r="N61" s="121"/>
      <c r="O61" s="2"/>
      <c r="P61" s="120"/>
      <c r="Q61" s="2"/>
      <c r="R61" s="121"/>
      <c r="S61" s="2"/>
      <c r="T61" s="2"/>
      <c r="U61" s="2"/>
    </row>
    <row r="62" spans="2:23">
      <c r="B62" t="s">
        <v>138</v>
      </c>
      <c r="C62" s="109">
        <f t="shared" ref="C62" si="44">IF(C57&gt;C55,C57-C55,0)</f>
        <v>350000</v>
      </c>
      <c r="D62" s="110"/>
      <c r="E62" s="111">
        <f>IF(E57&gt;E55,E57-E55,0)</f>
        <v>37500</v>
      </c>
      <c r="F62" s="22"/>
      <c r="G62" s="112">
        <f>IF(G57&gt;G55,G57-G55,0)</f>
        <v>22000</v>
      </c>
      <c r="H62" s="22">
        <f t="shared" ref="H62:I62" si="45">IF(H57&gt;H55,H57-H55,0)</f>
        <v>0</v>
      </c>
      <c r="I62" s="113">
        <f t="shared" si="45"/>
        <v>20000</v>
      </c>
      <c r="K62" s="2"/>
      <c r="L62" s="122"/>
      <c r="M62" s="2"/>
      <c r="N62" s="122"/>
      <c r="O62" s="2"/>
      <c r="P62" s="120"/>
      <c r="Q62" s="2"/>
      <c r="R62" s="122"/>
      <c r="S62" s="2"/>
      <c r="T62" s="2"/>
      <c r="U62" s="2"/>
    </row>
    <row r="63" spans="2:23">
      <c r="B63" t="s">
        <v>139</v>
      </c>
      <c r="C63" s="104">
        <f t="shared" ref="C63" si="46">C62*C58</f>
        <v>290500</v>
      </c>
      <c r="D63" s="105"/>
      <c r="E63" s="106">
        <f>E62*E58</f>
        <v>255000</v>
      </c>
      <c r="F63" s="24"/>
      <c r="G63" s="107">
        <f>G62*G58</f>
        <v>93720.000000000015</v>
      </c>
      <c r="H63" s="24">
        <f t="shared" ref="H63:I63" si="47">H62*H58</f>
        <v>0</v>
      </c>
      <c r="I63" s="108">
        <f t="shared" si="47"/>
        <v>64000</v>
      </c>
      <c r="K63" s="2"/>
      <c r="L63" s="121"/>
      <c r="M63" s="2"/>
      <c r="N63" s="121"/>
      <c r="O63" s="2"/>
      <c r="P63" s="120"/>
      <c r="Q63" s="2"/>
      <c r="R63" s="121"/>
      <c r="S63" s="2"/>
      <c r="T63" s="2"/>
      <c r="U63" s="2"/>
    </row>
    <row r="64" spans="2:23">
      <c r="B64" t="s">
        <v>140</v>
      </c>
      <c r="C64" s="104">
        <f>C49*C52</f>
        <v>41850.000000000022</v>
      </c>
      <c r="D64" s="105"/>
      <c r="E64" s="106">
        <f>E49*E52</f>
        <v>53549.999999999956</v>
      </c>
      <c r="F64" s="24"/>
      <c r="G64" s="107">
        <f>G49*G52</f>
        <v>0</v>
      </c>
      <c r="H64" s="24">
        <f>H49*H52</f>
        <v>0</v>
      </c>
      <c r="I64" s="108">
        <f>I49*I52</f>
        <v>2819.9999999999932</v>
      </c>
      <c r="K64" s="2"/>
      <c r="L64" s="121"/>
      <c r="M64" s="2"/>
      <c r="N64" s="121"/>
      <c r="O64" s="2"/>
      <c r="P64" s="120"/>
      <c r="Q64" s="2"/>
      <c r="R64" s="121"/>
      <c r="S64" s="2"/>
      <c r="T64" s="2"/>
      <c r="U64" s="2"/>
    </row>
    <row r="65" spans="2:21">
      <c r="B65" t="s">
        <v>141</v>
      </c>
      <c r="C65" s="104">
        <f t="shared" ref="C65" si="48">C59-C61++C63+C64</f>
        <v>332350</v>
      </c>
      <c r="D65" s="105"/>
      <c r="E65" s="106">
        <f>E59-E61++E63+E64</f>
        <v>308549.99999999994</v>
      </c>
      <c r="F65" s="24"/>
      <c r="G65" s="107">
        <f>G59-G61++G63+G64</f>
        <v>93720.000000000015</v>
      </c>
      <c r="H65" s="24">
        <f t="shared" ref="H65:I65" si="49">H59-H61++H63+H64</f>
        <v>205562.5</v>
      </c>
      <c r="I65" s="108">
        <f t="shared" si="49"/>
        <v>66820</v>
      </c>
      <c r="K65" s="2"/>
      <c r="L65" s="121"/>
      <c r="M65" s="2"/>
      <c r="N65" s="121"/>
      <c r="O65" s="2"/>
      <c r="P65" s="120"/>
      <c r="Q65" s="2"/>
      <c r="R65" s="121"/>
      <c r="S65" s="2"/>
      <c r="T65" s="2"/>
      <c r="U65" s="2"/>
    </row>
    <row r="66" spans="2:21">
      <c r="C66" s="93"/>
      <c r="D66" s="94"/>
      <c r="E66" s="95"/>
      <c r="G66" s="96"/>
      <c r="I66" s="97"/>
      <c r="K66" s="2"/>
      <c r="L66" s="2"/>
      <c r="M66" s="2"/>
      <c r="N66" s="2"/>
      <c r="O66" s="2"/>
      <c r="P66" s="120"/>
      <c r="Q66" s="2"/>
      <c r="R66" s="2"/>
      <c r="S66" s="2"/>
      <c r="T66" s="2"/>
      <c r="U66" s="2"/>
    </row>
    <row r="67" spans="2:21">
      <c r="B67" t="s">
        <v>142</v>
      </c>
      <c r="C67" s="99">
        <v>600</v>
      </c>
      <c r="D67" s="100"/>
      <c r="E67" s="101">
        <v>215</v>
      </c>
      <c r="F67" s="4"/>
      <c r="G67" s="102">
        <v>215</v>
      </c>
      <c r="H67" s="4">
        <v>451</v>
      </c>
      <c r="I67" s="103">
        <v>125</v>
      </c>
      <c r="K67" s="2"/>
      <c r="L67" s="120"/>
      <c r="M67" s="2"/>
      <c r="N67" s="120"/>
      <c r="O67" s="2"/>
      <c r="P67" s="120"/>
      <c r="Q67" s="2"/>
      <c r="R67" s="120"/>
      <c r="S67" s="2"/>
      <c r="T67" s="2"/>
      <c r="U67" s="2"/>
    </row>
    <row r="68" spans="2:21">
      <c r="B68" t="s">
        <v>85</v>
      </c>
      <c r="C68" s="104">
        <f>C67*C52</f>
        <v>300000</v>
      </c>
      <c r="D68" s="105"/>
      <c r="E68" s="106">
        <f>E67*E52</f>
        <v>107500</v>
      </c>
      <c r="F68" s="24"/>
      <c r="G68" s="107">
        <f>G67*G52</f>
        <v>107500</v>
      </c>
      <c r="H68" s="24">
        <f>H67*H52</f>
        <v>0</v>
      </c>
      <c r="I68" s="108">
        <f>I67*I52</f>
        <v>62500</v>
      </c>
      <c r="K68" s="2"/>
      <c r="L68" s="121"/>
      <c r="M68" s="2"/>
      <c r="N68" s="121"/>
      <c r="O68" s="2"/>
      <c r="P68" s="120"/>
      <c r="Q68" s="2"/>
      <c r="R68" s="121"/>
      <c r="S68" s="2"/>
      <c r="T68" s="2"/>
      <c r="U68" s="2"/>
    </row>
    <row r="69" spans="2:21">
      <c r="C69" s="93"/>
      <c r="D69" s="94"/>
      <c r="E69" s="95"/>
      <c r="G69" s="96"/>
      <c r="I69" s="97"/>
      <c r="K69" s="2"/>
      <c r="L69" s="2"/>
      <c r="M69" s="2"/>
      <c r="N69" s="2"/>
      <c r="O69" s="2"/>
      <c r="P69" s="120"/>
      <c r="Q69" s="2"/>
      <c r="R69" s="2"/>
      <c r="S69" s="2"/>
      <c r="T69" s="2"/>
      <c r="U69" s="2"/>
    </row>
    <row r="70" spans="2:21" ht="13.5" thickBot="1">
      <c r="B70" t="s">
        <v>143</v>
      </c>
      <c r="C70" s="114">
        <f t="shared" ref="C70" si="50">C65-C68</f>
        <v>32350</v>
      </c>
      <c r="D70" s="105"/>
      <c r="E70" s="115">
        <f>E65-E68</f>
        <v>201049.99999999994</v>
      </c>
      <c r="F70" s="24"/>
      <c r="G70" s="116">
        <f>G65-G68</f>
        <v>-13779.999999999985</v>
      </c>
      <c r="H70" s="24">
        <f t="shared" ref="H70:I70" si="51">H65-H68</f>
        <v>205562.5</v>
      </c>
      <c r="I70" s="117">
        <f t="shared" si="51"/>
        <v>4320</v>
      </c>
      <c r="K70" s="2"/>
      <c r="L70" s="121"/>
      <c r="M70" s="2"/>
      <c r="N70" s="121"/>
      <c r="O70" s="2"/>
      <c r="P70" s="120"/>
      <c r="Q70" s="2"/>
      <c r="R70" s="121"/>
      <c r="S70" s="2"/>
      <c r="T70" s="2"/>
      <c r="U70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workbookViewId="0">
      <selection activeCell="K47" sqref="K47"/>
    </sheetView>
  </sheetViews>
  <sheetFormatPr defaultRowHeight="12.75"/>
  <sheetData>
    <row r="1" spans="1:16">
      <c r="A1" t="s">
        <v>64</v>
      </c>
    </row>
    <row r="2" spans="1:16">
      <c r="A2" t="s">
        <v>65</v>
      </c>
    </row>
    <row r="3" spans="1:16">
      <c r="B3" t="s">
        <v>8</v>
      </c>
      <c r="J3" t="s">
        <v>36</v>
      </c>
    </row>
    <row r="4" spans="1:16">
      <c r="B4" t="s">
        <v>66</v>
      </c>
      <c r="H4" t="s">
        <v>67</v>
      </c>
      <c r="J4" t="s">
        <v>66</v>
      </c>
      <c r="P4" t="s">
        <v>67</v>
      </c>
    </row>
    <row r="5" spans="1:16">
      <c r="B5" t="s">
        <v>68</v>
      </c>
      <c r="C5" t="s">
        <v>4</v>
      </c>
      <c r="D5" t="s">
        <v>69</v>
      </c>
      <c r="E5" t="s">
        <v>70</v>
      </c>
      <c r="F5" t="s">
        <v>71</v>
      </c>
      <c r="G5" t="s">
        <v>6</v>
      </c>
      <c r="H5" t="s">
        <v>58</v>
      </c>
      <c r="J5" t="s">
        <v>68</v>
      </c>
      <c r="K5" t="s">
        <v>4</v>
      </c>
      <c r="L5" t="s">
        <v>69</v>
      </c>
      <c r="M5" t="s">
        <v>70</v>
      </c>
      <c r="N5" t="s">
        <v>71</v>
      </c>
      <c r="O5" t="s">
        <v>6</v>
      </c>
      <c r="P5" t="s">
        <v>58</v>
      </c>
    </row>
    <row r="6" spans="1:16">
      <c r="B6">
        <v>100</v>
      </c>
      <c r="C6">
        <v>100</v>
      </c>
      <c r="D6">
        <v>0.1</v>
      </c>
      <c r="E6">
        <v>0.1</v>
      </c>
      <c r="F6">
        <f>B6*C6*(D6-E6)</f>
        <v>0</v>
      </c>
      <c r="G6">
        <v>10</v>
      </c>
      <c r="H6">
        <f>F6-(G6*C6)</f>
        <v>-1000</v>
      </c>
      <c r="J6">
        <v>100</v>
      </c>
      <c r="K6">
        <v>100</v>
      </c>
      <c r="L6">
        <v>0.1</v>
      </c>
      <c r="M6">
        <v>0.1</v>
      </c>
      <c r="N6">
        <v>0</v>
      </c>
      <c r="O6">
        <v>5</v>
      </c>
      <c r="P6">
        <f>N6-(O6*K6)</f>
        <v>-500</v>
      </c>
    </row>
    <row r="7" spans="1:16">
      <c r="B7">
        <v>100</v>
      </c>
      <c r="C7">
        <v>100</v>
      </c>
      <c r="D7">
        <v>0.2</v>
      </c>
      <c r="E7">
        <v>0.1</v>
      </c>
      <c r="F7">
        <f t="shared" ref="F7:F15" si="0">B7*C7*(D7-E7)</f>
        <v>1000</v>
      </c>
      <c r="G7">
        <v>10</v>
      </c>
      <c r="H7">
        <f t="shared" ref="H7:H15" si="1">F7-(G7*C7)</f>
        <v>0</v>
      </c>
      <c r="J7">
        <v>100</v>
      </c>
      <c r="K7">
        <v>100</v>
      </c>
      <c r="L7">
        <v>0.2</v>
      </c>
      <c r="M7">
        <v>0.1</v>
      </c>
      <c r="N7">
        <f t="shared" ref="N7:N15" si="2">J7*K7*(L7-M7)</f>
        <v>1000</v>
      </c>
      <c r="O7">
        <v>5</v>
      </c>
      <c r="P7">
        <f t="shared" ref="P7:P15" si="3">N7-(O7*K7)</f>
        <v>500</v>
      </c>
    </row>
    <row r="8" spans="1:16">
      <c r="B8">
        <v>100</v>
      </c>
      <c r="C8">
        <v>100</v>
      </c>
      <c r="D8">
        <v>0.3</v>
      </c>
      <c r="E8">
        <v>0.1</v>
      </c>
      <c r="F8">
        <f t="shared" si="0"/>
        <v>1999.9999999999998</v>
      </c>
      <c r="G8">
        <v>10</v>
      </c>
      <c r="H8">
        <f t="shared" si="1"/>
        <v>999.99999999999977</v>
      </c>
      <c r="J8">
        <v>100</v>
      </c>
      <c r="K8">
        <v>100</v>
      </c>
      <c r="L8">
        <v>0.3</v>
      </c>
      <c r="M8">
        <v>0.1</v>
      </c>
      <c r="N8">
        <f t="shared" si="2"/>
        <v>1999.9999999999998</v>
      </c>
      <c r="O8">
        <v>5</v>
      </c>
      <c r="P8">
        <f t="shared" si="3"/>
        <v>1499.9999999999998</v>
      </c>
    </row>
    <row r="9" spans="1:16">
      <c r="B9">
        <v>100</v>
      </c>
      <c r="C9">
        <v>100</v>
      </c>
      <c r="D9">
        <v>0.4</v>
      </c>
      <c r="E9">
        <v>0.1</v>
      </c>
      <c r="F9">
        <f t="shared" si="0"/>
        <v>3000.0000000000005</v>
      </c>
      <c r="G9">
        <v>10</v>
      </c>
      <c r="H9">
        <f t="shared" si="1"/>
        <v>2000.0000000000005</v>
      </c>
      <c r="J9">
        <v>100</v>
      </c>
      <c r="K9">
        <v>100</v>
      </c>
      <c r="L9">
        <v>0.4</v>
      </c>
      <c r="M9">
        <v>0.1</v>
      </c>
      <c r="N9">
        <f t="shared" si="2"/>
        <v>3000.0000000000005</v>
      </c>
      <c r="O9">
        <v>5</v>
      </c>
      <c r="P9">
        <f t="shared" si="3"/>
        <v>2500.0000000000005</v>
      </c>
    </row>
    <row r="10" spans="1:16">
      <c r="B10">
        <v>100</v>
      </c>
      <c r="C10">
        <v>100</v>
      </c>
      <c r="D10">
        <v>0.5</v>
      </c>
      <c r="E10">
        <v>0.1</v>
      </c>
      <c r="F10">
        <f t="shared" si="0"/>
        <v>4000</v>
      </c>
      <c r="G10">
        <v>10</v>
      </c>
      <c r="H10">
        <f t="shared" si="1"/>
        <v>3000</v>
      </c>
      <c r="J10" s="26">
        <v>100</v>
      </c>
      <c r="K10" s="26">
        <v>100</v>
      </c>
      <c r="L10" s="26">
        <v>0.5</v>
      </c>
      <c r="M10" s="26">
        <v>0.1</v>
      </c>
      <c r="N10" s="26">
        <f t="shared" si="2"/>
        <v>4000</v>
      </c>
      <c r="O10" s="26">
        <v>5</v>
      </c>
      <c r="P10" s="26">
        <f t="shared" si="3"/>
        <v>3500</v>
      </c>
    </row>
    <row r="11" spans="1:16">
      <c r="B11">
        <v>100</v>
      </c>
      <c r="C11">
        <v>100</v>
      </c>
      <c r="D11">
        <v>0.6</v>
      </c>
      <c r="E11">
        <v>0.1</v>
      </c>
      <c r="F11">
        <f t="shared" si="0"/>
        <v>5000</v>
      </c>
      <c r="G11">
        <v>10</v>
      </c>
      <c r="H11">
        <f t="shared" si="1"/>
        <v>4000</v>
      </c>
      <c r="J11">
        <v>100</v>
      </c>
      <c r="K11">
        <v>100</v>
      </c>
      <c r="L11">
        <v>0.6</v>
      </c>
      <c r="M11">
        <v>0.1</v>
      </c>
      <c r="N11">
        <f t="shared" si="2"/>
        <v>5000</v>
      </c>
      <c r="O11">
        <v>5</v>
      </c>
      <c r="P11">
        <f t="shared" si="3"/>
        <v>4500</v>
      </c>
    </row>
    <row r="12" spans="1:16">
      <c r="B12">
        <v>100</v>
      </c>
      <c r="C12">
        <v>100</v>
      </c>
      <c r="D12">
        <v>0.7</v>
      </c>
      <c r="E12">
        <v>0.1</v>
      </c>
      <c r="F12">
        <f t="shared" si="0"/>
        <v>6000</v>
      </c>
      <c r="G12">
        <v>10</v>
      </c>
      <c r="H12">
        <f t="shared" si="1"/>
        <v>5000</v>
      </c>
      <c r="J12">
        <v>100</v>
      </c>
      <c r="K12">
        <v>100</v>
      </c>
      <c r="L12">
        <v>0.7</v>
      </c>
      <c r="M12">
        <v>0.1</v>
      </c>
      <c r="N12">
        <f t="shared" si="2"/>
        <v>6000</v>
      </c>
      <c r="O12">
        <v>5</v>
      </c>
      <c r="P12">
        <f t="shared" si="3"/>
        <v>5500</v>
      </c>
    </row>
    <row r="13" spans="1:16">
      <c r="B13">
        <v>100</v>
      </c>
      <c r="C13">
        <v>100</v>
      </c>
      <c r="D13">
        <v>0.8</v>
      </c>
      <c r="E13">
        <v>0.1</v>
      </c>
      <c r="F13">
        <f t="shared" si="0"/>
        <v>7000.0000000000009</v>
      </c>
      <c r="G13">
        <v>10</v>
      </c>
      <c r="H13">
        <f t="shared" si="1"/>
        <v>6000.0000000000009</v>
      </c>
      <c r="J13">
        <v>100</v>
      </c>
      <c r="K13">
        <v>100</v>
      </c>
      <c r="L13">
        <v>0.8</v>
      </c>
      <c r="M13">
        <v>0.1</v>
      </c>
      <c r="N13">
        <f t="shared" si="2"/>
        <v>7000.0000000000009</v>
      </c>
      <c r="O13">
        <v>5</v>
      </c>
      <c r="P13">
        <f t="shared" si="3"/>
        <v>6500.0000000000009</v>
      </c>
    </row>
    <row r="14" spans="1:16">
      <c r="B14">
        <v>100</v>
      </c>
      <c r="C14">
        <v>100</v>
      </c>
      <c r="D14">
        <v>0.9</v>
      </c>
      <c r="E14">
        <v>0.1</v>
      </c>
      <c r="F14">
        <f t="shared" si="0"/>
        <v>8000</v>
      </c>
      <c r="G14">
        <v>10</v>
      </c>
      <c r="H14">
        <f t="shared" si="1"/>
        <v>7000</v>
      </c>
      <c r="J14">
        <v>100</v>
      </c>
      <c r="K14">
        <v>100</v>
      </c>
      <c r="L14">
        <v>0.9</v>
      </c>
      <c r="M14">
        <v>0.1</v>
      </c>
      <c r="N14">
        <f t="shared" si="2"/>
        <v>8000</v>
      </c>
      <c r="O14">
        <v>5</v>
      </c>
      <c r="P14">
        <f t="shared" si="3"/>
        <v>7500</v>
      </c>
    </row>
    <row r="15" spans="1:16">
      <c r="B15" s="26">
        <v>100</v>
      </c>
      <c r="C15" s="26">
        <v>100</v>
      </c>
      <c r="D15" s="26">
        <v>1</v>
      </c>
      <c r="E15" s="26">
        <v>0.1</v>
      </c>
      <c r="F15" s="26">
        <f t="shared" si="0"/>
        <v>9000</v>
      </c>
      <c r="G15" s="26">
        <v>10</v>
      </c>
      <c r="H15" s="26">
        <f t="shared" si="1"/>
        <v>8000</v>
      </c>
      <c r="J15">
        <v>100</v>
      </c>
      <c r="K15">
        <v>100</v>
      </c>
      <c r="L15">
        <v>1</v>
      </c>
      <c r="M15">
        <v>0.1</v>
      </c>
      <c r="N15">
        <f t="shared" si="2"/>
        <v>9000</v>
      </c>
      <c r="O15">
        <v>5</v>
      </c>
      <c r="P15">
        <f t="shared" si="3"/>
        <v>8500</v>
      </c>
    </row>
    <row r="18" spans="2:8">
      <c r="B18" t="s">
        <v>66</v>
      </c>
      <c r="E18" t="s">
        <v>72</v>
      </c>
      <c r="H18" t="s">
        <v>67</v>
      </c>
    </row>
    <row r="19" spans="2:8">
      <c r="B19" t="s">
        <v>68</v>
      </c>
      <c r="C19" t="s">
        <v>4</v>
      </c>
      <c r="D19" t="s">
        <v>69</v>
      </c>
      <c r="E19" t="s">
        <v>70</v>
      </c>
      <c r="F19" t="s">
        <v>71</v>
      </c>
      <c r="G19" t="s">
        <v>6</v>
      </c>
      <c r="H19" t="s">
        <v>58</v>
      </c>
    </row>
    <row r="20" spans="2:8">
      <c r="B20">
        <v>200</v>
      </c>
      <c r="C20">
        <v>100</v>
      </c>
      <c r="D20">
        <v>0.1</v>
      </c>
      <c r="E20">
        <v>0.1</v>
      </c>
      <c r="F20">
        <f>B20*C20*(D20-E20)</f>
        <v>0</v>
      </c>
      <c r="G20">
        <v>20</v>
      </c>
      <c r="H20">
        <f>F20-(G20*C20)</f>
        <v>-2000</v>
      </c>
    </row>
    <row r="21" spans="2:8">
      <c r="B21">
        <v>200</v>
      </c>
      <c r="C21">
        <v>100</v>
      </c>
      <c r="D21">
        <v>0.2</v>
      </c>
      <c r="E21">
        <v>0.1</v>
      </c>
      <c r="F21">
        <f t="shared" ref="F21:F29" si="4">B21*C21*(D21-E21)</f>
        <v>2000</v>
      </c>
      <c r="G21">
        <v>20</v>
      </c>
      <c r="H21">
        <f t="shared" ref="H21:H29" si="5">F21-(G21*C21)</f>
        <v>0</v>
      </c>
    </row>
    <row r="22" spans="2:8">
      <c r="B22">
        <v>200</v>
      </c>
      <c r="C22">
        <v>100</v>
      </c>
      <c r="D22">
        <v>0.3</v>
      </c>
      <c r="E22">
        <v>0.1</v>
      </c>
      <c r="F22">
        <f t="shared" si="4"/>
        <v>3999.9999999999995</v>
      </c>
      <c r="G22">
        <v>20</v>
      </c>
      <c r="H22">
        <f t="shared" si="5"/>
        <v>1999.9999999999995</v>
      </c>
    </row>
    <row r="23" spans="2:8">
      <c r="B23">
        <v>200</v>
      </c>
      <c r="C23">
        <v>100</v>
      </c>
      <c r="D23">
        <v>0.4</v>
      </c>
      <c r="E23">
        <v>0.1</v>
      </c>
      <c r="F23">
        <f t="shared" si="4"/>
        <v>6000.0000000000009</v>
      </c>
      <c r="G23">
        <v>20</v>
      </c>
      <c r="H23">
        <f t="shared" si="5"/>
        <v>4000.0000000000009</v>
      </c>
    </row>
    <row r="24" spans="2:8">
      <c r="B24">
        <v>200</v>
      </c>
      <c r="C24">
        <v>100</v>
      </c>
      <c r="D24">
        <v>0.5</v>
      </c>
      <c r="E24">
        <v>0.1</v>
      </c>
      <c r="F24">
        <f t="shared" si="4"/>
        <v>8000</v>
      </c>
      <c r="G24">
        <v>20</v>
      </c>
      <c r="H24">
        <f t="shared" si="5"/>
        <v>6000</v>
      </c>
    </row>
    <row r="25" spans="2:8">
      <c r="B25">
        <v>200</v>
      </c>
      <c r="C25">
        <v>100</v>
      </c>
      <c r="D25">
        <v>0.6</v>
      </c>
      <c r="E25">
        <v>0.1</v>
      </c>
      <c r="F25">
        <f t="shared" si="4"/>
        <v>10000</v>
      </c>
      <c r="G25">
        <v>20</v>
      </c>
      <c r="H25">
        <f t="shared" si="5"/>
        <v>8000</v>
      </c>
    </row>
    <row r="26" spans="2:8">
      <c r="B26">
        <v>200</v>
      </c>
      <c r="C26">
        <v>100</v>
      </c>
      <c r="D26">
        <v>0.7</v>
      </c>
      <c r="E26">
        <v>0.1</v>
      </c>
      <c r="F26">
        <f t="shared" si="4"/>
        <v>12000</v>
      </c>
      <c r="G26">
        <v>20</v>
      </c>
      <c r="H26">
        <f t="shared" si="5"/>
        <v>10000</v>
      </c>
    </row>
    <row r="27" spans="2:8">
      <c r="B27">
        <v>200</v>
      </c>
      <c r="C27">
        <v>100</v>
      </c>
      <c r="D27">
        <v>0.8</v>
      </c>
      <c r="E27">
        <v>0.1</v>
      </c>
      <c r="F27">
        <f t="shared" si="4"/>
        <v>14000.000000000002</v>
      </c>
      <c r="G27">
        <v>20</v>
      </c>
      <c r="H27">
        <f t="shared" si="5"/>
        <v>12000.000000000002</v>
      </c>
    </row>
    <row r="28" spans="2:8">
      <c r="B28">
        <v>200</v>
      </c>
      <c r="C28">
        <v>100</v>
      </c>
      <c r="D28">
        <v>0.9</v>
      </c>
      <c r="E28">
        <v>0.1</v>
      </c>
      <c r="F28">
        <f t="shared" si="4"/>
        <v>16000</v>
      </c>
      <c r="G28">
        <v>20</v>
      </c>
      <c r="H28">
        <f t="shared" si="5"/>
        <v>14000</v>
      </c>
    </row>
    <row r="29" spans="2:8">
      <c r="B29">
        <v>200</v>
      </c>
      <c r="C29">
        <v>100</v>
      </c>
      <c r="D29">
        <v>1</v>
      </c>
      <c r="E29">
        <v>0.1</v>
      </c>
      <c r="F29">
        <f t="shared" si="4"/>
        <v>18000</v>
      </c>
      <c r="G29">
        <v>20</v>
      </c>
      <c r="H29">
        <f t="shared" si="5"/>
        <v>16000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workbookViewId="0">
      <selection activeCell="Z10" sqref="Z10"/>
    </sheetView>
  </sheetViews>
  <sheetFormatPr defaultRowHeight="12.75"/>
  <cols>
    <col min="2" max="2" width="15.140625" customWidth="1"/>
    <col min="3" max="3" width="12.85546875" customWidth="1"/>
    <col min="6" max="6" width="3.28515625" customWidth="1"/>
    <col min="7" max="7" width="11.85546875" customWidth="1"/>
  </cols>
  <sheetData>
    <row r="1" spans="1:9" ht="15">
      <c r="A1" s="21" t="s">
        <v>114</v>
      </c>
    </row>
    <row r="2" spans="1:9">
      <c r="C2" s="43" t="s">
        <v>91</v>
      </c>
      <c r="D2" s="43" t="s">
        <v>92</v>
      </c>
      <c r="E2" s="1"/>
    </row>
    <row r="3" spans="1:9">
      <c r="A3" t="s">
        <v>1</v>
      </c>
    </row>
    <row r="4" spans="1:9">
      <c r="B4" t="s">
        <v>73</v>
      </c>
      <c r="C4" s="24">
        <f>H4*H5</f>
        <v>140</v>
      </c>
      <c r="D4" s="24">
        <f>I4*I5</f>
        <v>126</v>
      </c>
      <c r="G4" t="s">
        <v>93</v>
      </c>
      <c r="H4">
        <v>7</v>
      </c>
      <c r="I4">
        <f>H4</f>
        <v>7</v>
      </c>
    </row>
    <row r="5" spans="1:9">
      <c r="B5" t="s">
        <v>94</v>
      </c>
      <c r="C5" s="24"/>
      <c r="D5" s="24">
        <v>30</v>
      </c>
      <c r="G5" t="s">
        <v>95</v>
      </c>
      <c r="H5">
        <v>20</v>
      </c>
      <c r="I5">
        <v>18</v>
      </c>
    </row>
    <row r="6" spans="1:9">
      <c r="B6" t="s">
        <v>5</v>
      </c>
      <c r="C6" s="24">
        <f>SUM(C4:C5)</f>
        <v>140</v>
      </c>
      <c r="D6" s="24">
        <f>SUM(D4:D5)</f>
        <v>156</v>
      </c>
      <c r="G6" t="s">
        <v>96</v>
      </c>
      <c r="I6">
        <v>1.5</v>
      </c>
    </row>
    <row r="7" spans="1:9">
      <c r="C7" s="24"/>
      <c r="D7" s="24"/>
      <c r="G7" t="s">
        <v>97</v>
      </c>
      <c r="I7">
        <v>90</v>
      </c>
    </row>
    <row r="8" spans="1:9">
      <c r="A8" t="s">
        <v>98</v>
      </c>
      <c r="C8" s="24"/>
      <c r="D8" s="24"/>
      <c r="G8" t="s">
        <v>99</v>
      </c>
      <c r="I8">
        <v>0.5</v>
      </c>
    </row>
    <row r="9" spans="1:9">
      <c r="B9" t="s">
        <v>2</v>
      </c>
      <c r="C9" s="24">
        <v>18</v>
      </c>
      <c r="D9" s="24">
        <v>20</v>
      </c>
      <c r="G9" t="s">
        <v>100</v>
      </c>
      <c r="I9">
        <v>4.5</v>
      </c>
    </row>
    <row r="10" spans="1:9">
      <c r="B10" t="s">
        <v>3</v>
      </c>
      <c r="C10" s="24">
        <v>15</v>
      </c>
      <c r="D10" s="24">
        <v>17</v>
      </c>
      <c r="G10" t="s">
        <v>1</v>
      </c>
      <c r="I10" s="26">
        <v>30</v>
      </c>
    </row>
    <row r="11" spans="1:9">
      <c r="B11" t="s">
        <v>21</v>
      </c>
      <c r="C11" s="24">
        <v>10</v>
      </c>
      <c r="D11" s="24">
        <v>10</v>
      </c>
    </row>
    <row r="12" spans="1:9">
      <c r="B12" t="s">
        <v>101</v>
      </c>
      <c r="C12" s="24">
        <v>11</v>
      </c>
      <c r="D12" s="24">
        <v>11</v>
      </c>
      <c r="G12" t="s">
        <v>102</v>
      </c>
      <c r="I12" s="4">
        <f>I10/(I7*I6*I8)</f>
        <v>0.44444444444444442</v>
      </c>
    </row>
    <row r="13" spans="1:9">
      <c r="B13" t="s">
        <v>55</v>
      </c>
      <c r="C13" s="24">
        <v>24</v>
      </c>
      <c r="D13" s="24">
        <v>24</v>
      </c>
    </row>
    <row r="14" spans="1:9">
      <c r="B14" t="s">
        <v>103</v>
      </c>
      <c r="C14" s="24">
        <v>6</v>
      </c>
      <c r="D14" s="24">
        <v>6</v>
      </c>
      <c r="G14" t="s">
        <v>104</v>
      </c>
      <c r="I14" s="4">
        <f>I10/((I9*I8)*(I7/30))</f>
        <v>4.4444444444444446</v>
      </c>
    </row>
    <row r="15" spans="1:9">
      <c r="B15" s="17" t="s">
        <v>38</v>
      </c>
      <c r="C15" s="24">
        <f>'Sales Ledger'!H4</f>
        <v>12</v>
      </c>
      <c r="D15" s="24">
        <v>5</v>
      </c>
    </row>
    <row r="16" spans="1:9">
      <c r="B16" t="s">
        <v>22</v>
      </c>
      <c r="C16" s="24">
        <v>10</v>
      </c>
      <c r="D16" s="24">
        <v>10</v>
      </c>
    </row>
    <row r="17" spans="1:7">
      <c r="B17" t="s">
        <v>5</v>
      </c>
      <c r="C17" s="24">
        <f>SUM(C9:C16)</f>
        <v>106</v>
      </c>
      <c r="D17" s="24">
        <f>SUM(D9:D16)</f>
        <v>103</v>
      </c>
    </row>
    <row r="18" spans="1:7">
      <c r="A18" t="s">
        <v>105</v>
      </c>
      <c r="C18" s="24"/>
      <c r="D18" s="24"/>
    </row>
    <row r="19" spans="1:7">
      <c r="B19" t="s">
        <v>106</v>
      </c>
      <c r="C19" s="24">
        <v>20</v>
      </c>
      <c r="D19" s="24">
        <v>20</v>
      </c>
    </row>
    <row r="20" spans="1:7">
      <c r="B20" t="s">
        <v>27</v>
      </c>
      <c r="C20" s="24">
        <v>13</v>
      </c>
      <c r="D20" s="24">
        <v>13</v>
      </c>
    </row>
    <row r="21" spans="1:7">
      <c r="B21" t="s">
        <v>107</v>
      </c>
      <c r="C21" s="24">
        <v>8</v>
      </c>
      <c r="D21" s="24">
        <v>8</v>
      </c>
    </row>
    <row r="22" spans="1:7">
      <c r="B22" t="s">
        <v>108</v>
      </c>
      <c r="C22" s="24">
        <v>10</v>
      </c>
      <c r="D22" s="24">
        <v>10</v>
      </c>
    </row>
    <row r="23" spans="1:7">
      <c r="B23" t="s">
        <v>5</v>
      </c>
      <c r="C23" s="24">
        <f>SUM(C19:C22)</f>
        <v>51</v>
      </c>
      <c r="D23" s="24">
        <f>SUM(D19:D22)</f>
        <v>51</v>
      </c>
    </row>
    <row r="24" spans="1:7">
      <c r="A24" t="s">
        <v>33</v>
      </c>
      <c r="C24" s="24"/>
      <c r="D24" s="24"/>
    </row>
    <row r="25" spans="1:7">
      <c r="C25" s="24">
        <f>C17+C23</f>
        <v>157</v>
      </c>
      <c r="D25" s="24">
        <f>D17+D23</f>
        <v>154</v>
      </c>
    </row>
    <row r="26" spans="1:7">
      <c r="C26" s="24"/>
      <c r="D26" s="24"/>
    </row>
    <row r="27" spans="1:7">
      <c r="A27" t="s">
        <v>83</v>
      </c>
      <c r="C27" s="24">
        <f>C6-C25</f>
        <v>-17</v>
      </c>
      <c r="D27" s="24">
        <f>D6-D25</f>
        <v>2</v>
      </c>
      <c r="E27" s="26">
        <f>C27-D27</f>
        <v>-19</v>
      </c>
      <c r="G27" s="44" t="s">
        <v>109</v>
      </c>
    </row>
    <row r="28" spans="1:7">
      <c r="A28" t="s">
        <v>110</v>
      </c>
      <c r="C28" s="24">
        <f>C25/H5</f>
        <v>7.85</v>
      </c>
      <c r="D28" s="24">
        <f>(D25-D5)/I5</f>
        <v>6.8888888888888893</v>
      </c>
      <c r="G28" t="s">
        <v>111</v>
      </c>
    </row>
    <row r="29" spans="1:7">
      <c r="A29" t="s">
        <v>112</v>
      </c>
    </row>
    <row r="30" spans="1:7">
      <c r="A30" t="s">
        <v>113</v>
      </c>
    </row>
    <row r="31" spans="1:7">
      <c r="C31" s="4">
        <f>C17/H5</f>
        <v>5.3</v>
      </c>
      <c r="D31" s="4">
        <f>(D17-D5)/I5</f>
        <v>4.0555555555555554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7"/>
  <sheetViews>
    <sheetView zoomScaleNormal="100" workbookViewId="0">
      <selection activeCell="K48" sqref="K48"/>
    </sheetView>
  </sheetViews>
  <sheetFormatPr defaultRowHeight="12.75"/>
  <cols>
    <col min="3" max="3" width="28" customWidth="1"/>
  </cols>
  <sheetData>
    <row r="1" spans="1:8" ht="15.75">
      <c r="A1" s="18" t="s">
        <v>36</v>
      </c>
      <c r="B1" s="6"/>
      <c r="C1" s="5"/>
      <c r="D1" s="7"/>
      <c r="E1" s="7"/>
      <c r="F1" s="7"/>
      <c r="G1" s="7" t="s">
        <v>10</v>
      </c>
      <c r="H1" s="7"/>
    </row>
    <row r="2" spans="1:8">
      <c r="A2" s="8" t="s">
        <v>11</v>
      </c>
      <c r="B2" s="8"/>
      <c r="C2" s="8"/>
      <c r="D2" s="9" t="s">
        <v>0</v>
      </c>
      <c r="E2" s="9" t="s">
        <v>12</v>
      </c>
      <c r="F2" s="9" t="s">
        <v>13</v>
      </c>
      <c r="G2" s="9" t="s">
        <v>14</v>
      </c>
      <c r="H2" s="9" t="s">
        <v>5</v>
      </c>
    </row>
    <row r="3" spans="1:8">
      <c r="A3" s="5"/>
      <c r="B3" s="5" t="s">
        <v>15</v>
      </c>
      <c r="C3" s="5"/>
      <c r="D3" s="19">
        <v>140</v>
      </c>
      <c r="E3" s="7" t="s">
        <v>9</v>
      </c>
      <c r="F3" s="20">
        <v>5.2</v>
      </c>
      <c r="G3" s="10">
        <v>0</v>
      </c>
      <c r="H3" s="11">
        <f>D3*F3</f>
        <v>728</v>
      </c>
    </row>
    <row r="4" spans="1:8" ht="13.5" thickBot="1">
      <c r="A4" s="5"/>
      <c r="B4" s="5" t="s">
        <v>16</v>
      </c>
      <c r="C4" s="12"/>
      <c r="D4" s="19">
        <v>0</v>
      </c>
      <c r="E4" s="7" t="s">
        <v>17</v>
      </c>
      <c r="F4" s="20">
        <v>0</v>
      </c>
      <c r="G4" s="10">
        <v>0</v>
      </c>
      <c r="H4" s="13">
        <f>D4*F4</f>
        <v>0</v>
      </c>
    </row>
    <row r="5" spans="1:8" ht="13.5" thickTop="1">
      <c r="A5" s="14" t="s">
        <v>18</v>
      </c>
      <c r="B5" s="14"/>
      <c r="C5" s="14"/>
      <c r="D5" s="14"/>
      <c r="E5" s="14"/>
      <c r="F5" s="14"/>
      <c r="G5" s="14"/>
      <c r="H5" s="15">
        <f>SUM(H3:H4)</f>
        <v>728</v>
      </c>
    </row>
    <row r="6" spans="1:8">
      <c r="A6" s="14"/>
      <c r="B6" s="14"/>
      <c r="C6" s="14"/>
      <c r="D6" s="14"/>
      <c r="E6" s="14"/>
      <c r="F6" s="14"/>
      <c r="G6" s="14"/>
      <c r="H6" s="15"/>
    </row>
    <row r="7" spans="1:8">
      <c r="A7" s="8" t="s">
        <v>19</v>
      </c>
      <c r="B7" s="8"/>
      <c r="C7" s="8"/>
      <c r="D7" s="8" t="s">
        <v>0</v>
      </c>
      <c r="E7" s="8" t="s">
        <v>12</v>
      </c>
      <c r="F7" s="8" t="s">
        <v>13</v>
      </c>
      <c r="G7" s="8"/>
      <c r="H7" s="8" t="s">
        <v>5</v>
      </c>
    </row>
    <row r="8" spans="1:8">
      <c r="A8" s="5" t="s">
        <v>20</v>
      </c>
      <c r="B8" s="5"/>
      <c r="C8" s="5"/>
      <c r="D8" s="5"/>
      <c r="E8" s="5"/>
      <c r="F8" s="5"/>
      <c r="G8" s="5"/>
      <c r="H8" s="5"/>
    </row>
    <row r="9" spans="1:8">
      <c r="A9" s="5"/>
      <c r="B9" s="5" t="s">
        <v>2</v>
      </c>
      <c r="C9" s="5"/>
      <c r="D9" s="5">
        <v>1</v>
      </c>
      <c r="E9" s="7" t="s">
        <v>17</v>
      </c>
      <c r="F9" s="20">
        <v>80</v>
      </c>
      <c r="G9" s="10">
        <v>0</v>
      </c>
      <c r="H9" s="11">
        <f>D9*F9</f>
        <v>80</v>
      </c>
    </row>
    <row r="10" spans="1:8">
      <c r="A10" s="5"/>
      <c r="B10" s="5" t="s">
        <v>3</v>
      </c>
      <c r="C10" s="5"/>
      <c r="D10" s="5">
        <v>1</v>
      </c>
      <c r="E10" s="7" t="s">
        <v>17</v>
      </c>
      <c r="F10" s="20">
        <v>185</v>
      </c>
      <c r="G10" s="10">
        <v>0</v>
      </c>
      <c r="H10" s="11">
        <f t="shared" ref="H10:H14" si="0">D10*F10</f>
        <v>185</v>
      </c>
    </row>
    <row r="11" spans="1:8">
      <c r="A11" s="5"/>
      <c r="B11" s="5" t="s">
        <v>21</v>
      </c>
      <c r="C11" s="5"/>
      <c r="D11" s="5">
        <v>1</v>
      </c>
      <c r="E11" s="7" t="s">
        <v>17</v>
      </c>
      <c r="F11" s="20">
        <v>40</v>
      </c>
      <c r="G11" s="10">
        <v>0</v>
      </c>
      <c r="H11" s="11">
        <f t="shared" si="0"/>
        <v>40</v>
      </c>
    </row>
    <row r="12" spans="1:8">
      <c r="A12" s="5"/>
      <c r="B12" s="5" t="s">
        <v>38</v>
      </c>
      <c r="C12" s="5"/>
      <c r="D12" s="5">
        <v>1</v>
      </c>
      <c r="E12" s="7" t="s">
        <v>17</v>
      </c>
      <c r="F12" s="20">
        <f>'Sales Ledger'!H4</f>
        <v>12</v>
      </c>
      <c r="G12" s="10">
        <v>0</v>
      </c>
      <c r="H12" s="11">
        <f t="shared" si="0"/>
        <v>12</v>
      </c>
    </row>
    <row r="13" spans="1:8">
      <c r="A13" s="5"/>
      <c r="B13" s="5" t="s">
        <v>22</v>
      </c>
      <c r="C13" s="5"/>
      <c r="D13" s="5">
        <v>1</v>
      </c>
      <c r="E13" s="7" t="s">
        <v>17</v>
      </c>
      <c r="F13" s="20">
        <v>30</v>
      </c>
      <c r="G13" s="10">
        <v>0</v>
      </c>
      <c r="H13" s="11">
        <f t="shared" si="0"/>
        <v>30</v>
      </c>
    </row>
    <row r="14" spans="1:8">
      <c r="A14" s="5"/>
      <c r="B14" s="5" t="s">
        <v>23</v>
      </c>
      <c r="C14" s="5"/>
      <c r="D14" s="5">
        <v>1</v>
      </c>
      <c r="E14" s="7" t="s">
        <v>17</v>
      </c>
      <c r="F14" s="20">
        <v>14</v>
      </c>
      <c r="G14" s="10">
        <v>0</v>
      </c>
      <c r="H14" s="139">
        <f t="shared" si="0"/>
        <v>14</v>
      </c>
    </row>
    <row r="15" spans="1:8">
      <c r="A15" s="5"/>
      <c r="B15" s="5"/>
      <c r="C15" s="5"/>
      <c r="D15" s="5"/>
      <c r="E15" s="5"/>
      <c r="F15" s="20"/>
      <c r="G15" s="5"/>
      <c r="H15" s="11">
        <f>SUM(H9:H14)</f>
        <v>361</v>
      </c>
    </row>
    <row r="16" spans="1:8">
      <c r="A16" s="5" t="s">
        <v>24</v>
      </c>
      <c r="B16" s="5"/>
      <c r="C16" s="5"/>
      <c r="D16" s="5"/>
      <c r="E16" s="5"/>
      <c r="F16" s="20"/>
      <c r="G16" s="5"/>
      <c r="H16" s="5"/>
    </row>
    <row r="17" spans="1:8">
      <c r="A17" s="5"/>
      <c r="B17" s="5" t="s">
        <v>153</v>
      </c>
      <c r="C17" s="5"/>
      <c r="D17" s="19">
        <f>D3</f>
        <v>140</v>
      </c>
      <c r="E17" s="5" t="s">
        <v>9</v>
      </c>
      <c r="F17" s="20">
        <v>0.4</v>
      </c>
      <c r="G17" s="10">
        <v>0</v>
      </c>
      <c r="H17" s="11">
        <f>+D17*F17</f>
        <v>56</v>
      </c>
    </row>
    <row r="18" spans="1:8">
      <c r="A18" s="5"/>
      <c r="B18" s="5" t="s">
        <v>151</v>
      </c>
      <c r="C18" s="5"/>
      <c r="D18" s="19">
        <f>D3</f>
        <v>140</v>
      </c>
      <c r="E18" s="5" t="s">
        <v>9</v>
      </c>
      <c r="F18" s="20">
        <v>0.1</v>
      </c>
      <c r="G18" s="5"/>
      <c r="H18" s="11">
        <f>+D18*F18</f>
        <v>14</v>
      </c>
    </row>
    <row r="19" spans="1:8">
      <c r="A19" s="5"/>
      <c r="B19" s="5" t="s">
        <v>152</v>
      </c>
      <c r="C19" s="5"/>
      <c r="D19" s="19">
        <f>D3</f>
        <v>140</v>
      </c>
      <c r="E19" s="5" t="s">
        <v>9</v>
      </c>
      <c r="F19" s="20">
        <v>0.1</v>
      </c>
      <c r="G19" s="10">
        <v>0</v>
      </c>
      <c r="H19" s="139">
        <f>+D19*F19</f>
        <v>14</v>
      </c>
    </row>
    <row r="20" spans="1:8">
      <c r="A20" s="5"/>
      <c r="B20" s="5"/>
      <c r="C20" s="5"/>
      <c r="D20" s="5"/>
      <c r="E20" s="5"/>
      <c r="F20" s="20"/>
      <c r="G20" s="5"/>
      <c r="H20" s="15">
        <f>+H17+H19</f>
        <v>70</v>
      </c>
    </row>
    <row r="21" spans="1:8">
      <c r="A21" s="5"/>
      <c r="B21" s="5"/>
      <c r="C21" s="5"/>
      <c r="D21" s="5"/>
      <c r="E21" s="5"/>
      <c r="F21" s="20"/>
      <c r="G21" s="5"/>
      <c r="H21" s="15"/>
    </row>
    <row r="22" spans="1:8">
      <c r="A22" s="5" t="s">
        <v>25</v>
      </c>
      <c r="B22" s="5"/>
      <c r="C22" s="5"/>
      <c r="D22" s="5"/>
      <c r="E22" s="5"/>
      <c r="F22" s="20"/>
      <c r="G22" s="5"/>
      <c r="H22" s="11">
        <f>H15+H20</f>
        <v>431</v>
      </c>
    </row>
    <row r="23" spans="1:8">
      <c r="A23" s="5"/>
      <c r="B23" s="5"/>
      <c r="C23" s="5"/>
      <c r="D23" s="5"/>
      <c r="E23" s="5"/>
      <c r="F23" s="20"/>
      <c r="G23" s="5"/>
      <c r="H23" s="11"/>
    </row>
    <row r="24" spans="1:8">
      <c r="A24" s="8" t="s">
        <v>26</v>
      </c>
      <c r="B24" s="8"/>
      <c r="C24" s="8"/>
      <c r="D24" s="8" t="s">
        <v>0</v>
      </c>
      <c r="E24" s="8" t="s">
        <v>12</v>
      </c>
      <c r="F24" s="8" t="s">
        <v>13</v>
      </c>
      <c r="G24" s="8"/>
      <c r="H24" s="8" t="s">
        <v>5</v>
      </c>
    </row>
    <row r="25" spans="1:8">
      <c r="B25" s="5" t="s">
        <v>106</v>
      </c>
      <c r="C25" s="5"/>
      <c r="D25" s="5">
        <v>1</v>
      </c>
      <c r="E25" s="5" t="s">
        <v>17</v>
      </c>
      <c r="F25" s="20">
        <v>185</v>
      </c>
      <c r="G25" s="5"/>
      <c r="H25" s="11">
        <f>+D25*F25</f>
        <v>185</v>
      </c>
    </row>
    <row r="26" spans="1:8">
      <c r="A26" s="5"/>
      <c r="B26" s="5" t="s">
        <v>27</v>
      </c>
      <c r="C26" s="5"/>
      <c r="D26" s="5">
        <v>1</v>
      </c>
      <c r="E26" s="5" t="s">
        <v>17</v>
      </c>
      <c r="F26" s="20">
        <v>30</v>
      </c>
      <c r="G26" s="5"/>
      <c r="H26" s="11">
        <f>D26*F26</f>
        <v>30</v>
      </c>
    </row>
    <row r="27" spans="1:8">
      <c r="A27" s="5"/>
      <c r="B27" s="5" t="s">
        <v>28</v>
      </c>
      <c r="C27" s="5"/>
      <c r="D27" s="5">
        <v>1</v>
      </c>
      <c r="E27" s="5" t="s">
        <v>17</v>
      </c>
      <c r="F27" s="20">
        <v>0</v>
      </c>
      <c r="G27" s="5"/>
      <c r="H27" s="11">
        <f t="shared" ref="H27:H28" si="1">D27*F27</f>
        <v>0</v>
      </c>
    </row>
    <row r="28" spans="1:8">
      <c r="A28" s="5"/>
      <c r="B28" s="5" t="s">
        <v>29</v>
      </c>
      <c r="C28" s="5"/>
      <c r="D28" s="5">
        <v>1</v>
      </c>
      <c r="E28" s="5" t="s">
        <v>17</v>
      </c>
      <c r="F28" s="20">
        <v>0</v>
      </c>
      <c r="G28" s="5"/>
      <c r="H28" s="11">
        <f t="shared" si="1"/>
        <v>0</v>
      </c>
    </row>
    <row r="29" spans="1:8">
      <c r="A29" s="5"/>
      <c r="B29" s="5" t="s">
        <v>30</v>
      </c>
      <c r="C29" s="5"/>
      <c r="D29" s="5">
        <v>1</v>
      </c>
      <c r="E29" s="5" t="s">
        <v>17</v>
      </c>
      <c r="F29" s="20">
        <v>40</v>
      </c>
      <c r="G29" s="5"/>
      <c r="H29" s="11">
        <f>+D29*F29</f>
        <v>40</v>
      </c>
    </row>
    <row r="30" spans="1:8">
      <c r="A30" s="5"/>
      <c r="B30" s="5" t="s">
        <v>31</v>
      </c>
      <c r="C30" s="5"/>
      <c r="D30" s="5">
        <v>1</v>
      </c>
      <c r="E30" s="5" t="s">
        <v>17</v>
      </c>
      <c r="F30" s="20">
        <v>0</v>
      </c>
      <c r="G30" s="5"/>
      <c r="H30" s="11">
        <f>D30*F30</f>
        <v>0</v>
      </c>
    </row>
    <row r="31" spans="1:8" ht="13.5" thickBot="1">
      <c r="A31" s="5" t="s">
        <v>32</v>
      </c>
      <c r="B31" s="5"/>
      <c r="C31" s="5"/>
      <c r="D31" s="5"/>
      <c r="E31" s="5"/>
      <c r="F31" s="20"/>
      <c r="G31" s="5"/>
      <c r="H31" s="13">
        <f>SUM(H25:H30)</f>
        <v>255</v>
      </c>
    </row>
    <row r="32" spans="1:8" ht="13.5" thickTop="1">
      <c r="A32" s="5"/>
      <c r="B32" s="5"/>
      <c r="C32" s="5"/>
      <c r="D32" s="5"/>
      <c r="E32" s="5"/>
      <c r="F32" s="20"/>
      <c r="G32" s="5"/>
      <c r="H32" s="5"/>
    </row>
    <row r="33" spans="1:8" ht="13.5" thickBot="1">
      <c r="A33" s="5" t="s">
        <v>33</v>
      </c>
      <c r="B33" s="5"/>
      <c r="C33" s="5"/>
      <c r="D33" s="5"/>
      <c r="E33" s="5"/>
      <c r="F33" s="20"/>
      <c r="G33" s="5"/>
      <c r="H33" s="13">
        <f>H22+H31</f>
        <v>686</v>
      </c>
    </row>
    <row r="34" spans="1:8" ht="13.5" thickTop="1">
      <c r="A34" s="5"/>
      <c r="B34" s="5"/>
      <c r="C34" s="5"/>
      <c r="D34" s="5"/>
      <c r="E34" s="5"/>
      <c r="F34" s="20"/>
      <c r="G34" s="5"/>
      <c r="H34" s="5"/>
    </row>
    <row r="35" spans="1:8">
      <c r="A35" s="5" t="s">
        <v>34</v>
      </c>
      <c r="B35" s="5"/>
      <c r="C35" s="5"/>
      <c r="D35" s="5"/>
      <c r="E35" s="5"/>
      <c r="F35" s="20"/>
      <c r="G35" s="5"/>
      <c r="H35" s="11">
        <f>+H5-H33</f>
        <v>42</v>
      </c>
    </row>
    <row r="36" spans="1:8" ht="13.5" thickBot="1">
      <c r="A36" s="16" t="s">
        <v>35</v>
      </c>
      <c r="B36" s="16"/>
      <c r="C36" s="16"/>
      <c r="D36" s="16"/>
      <c r="E36" s="16" t="s">
        <v>9</v>
      </c>
      <c r="F36" s="138">
        <f>H33/D3</f>
        <v>4.9000000000000004</v>
      </c>
      <c r="G36" s="16"/>
      <c r="H36" s="16"/>
    </row>
    <row r="37" spans="1:8" ht="13.5" thickTop="1"/>
  </sheetData>
  <phoneticPr fontId="3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workbookViewId="0">
      <selection activeCell="E34" sqref="E34:F34"/>
    </sheetView>
  </sheetViews>
  <sheetFormatPr defaultColWidth="8.7109375" defaultRowHeight="15" customHeight="1"/>
  <cols>
    <col min="1" max="2" width="7.7109375" style="28" customWidth="1"/>
    <col min="3" max="3" width="8.5703125" style="28" customWidth="1"/>
    <col min="4" max="4" width="9.28515625" style="28" customWidth="1"/>
    <col min="5" max="6" width="6.7109375" style="28" customWidth="1"/>
    <col min="7" max="7" width="7.5703125" style="28" customWidth="1"/>
    <col min="8" max="8" width="7.7109375" style="28" customWidth="1"/>
    <col min="9" max="9" width="6.85546875" style="28" customWidth="1"/>
    <col min="10" max="10" width="6.42578125" style="28" customWidth="1"/>
    <col min="11" max="11" width="7.42578125" style="28" customWidth="1"/>
    <col min="12" max="12" width="6.7109375" style="28" customWidth="1"/>
    <col min="13" max="13" width="8.140625" style="28" customWidth="1"/>
    <col min="14" max="14" width="6.140625" style="28" customWidth="1"/>
    <col min="15" max="15" width="7.85546875" style="28" customWidth="1"/>
    <col min="16" max="16" width="6" style="28" customWidth="1"/>
    <col min="17" max="17" width="5.85546875" style="28" customWidth="1"/>
    <col min="18" max="18" width="6.7109375" style="28" customWidth="1"/>
    <col min="19" max="19" width="6.42578125" style="28" customWidth="1"/>
    <col min="20" max="16384" width="8.7109375" style="28"/>
  </cols>
  <sheetData>
    <row r="1" spans="1:20" ht="15" customHeight="1">
      <c r="A1" s="178" t="s">
        <v>73</v>
      </c>
      <c r="B1" s="178"/>
    </row>
    <row r="2" spans="1:20" ht="15" customHeight="1">
      <c r="A2" s="144" t="s">
        <v>7</v>
      </c>
      <c r="D2" s="39"/>
      <c r="E2" s="123" t="s">
        <v>38</v>
      </c>
      <c r="F2" s="123"/>
      <c r="J2" s="36" t="s">
        <v>154</v>
      </c>
    </row>
    <row r="3" spans="1:20" ht="15" customHeight="1">
      <c r="A3" s="175" t="s">
        <v>37</v>
      </c>
      <c r="B3" s="176"/>
      <c r="C3" s="140"/>
      <c r="D3" s="143"/>
      <c r="E3" s="47" t="s">
        <v>74</v>
      </c>
      <c r="F3" s="52" t="s">
        <v>89</v>
      </c>
      <c r="G3" s="53" t="s">
        <v>146</v>
      </c>
      <c r="H3" s="134" t="s">
        <v>79</v>
      </c>
      <c r="J3" s="47" t="s">
        <v>155</v>
      </c>
      <c r="K3" s="49"/>
      <c r="L3" s="50" t="s">
        <v>87</v>
      </c>
      <c r="M3" s="50"/>
      <c r="P3" s="42"/>
    </row>
    <row r="4" spans="1:20" ht="15" customHeight="1">
      <c r="A4" s="175" t="s">
        <v>81</v>
      </c>
      <c r="B4" s="176"/>
      <c r="C4" s="47"/>
      <c r="D4" s="36"/>
      <c r="E4" s="47"/>
      <c r="F4" s="54"/>
      <c r="G4" s="82"/>
      <c r="H4" s="82"/>
      <c r="J4" s="47" t="s">
        <v>86</v>
      </c>
      <c r="K4" s="49"/>
      <c r="L4" s="50" t="s">
        <v>88</v>
      </c>
      <c r="M4" s="50"/>
      <c r="P4" s="42"/>
    </row>
    <row r="5" spans="1:20" ht="15" customHeight="1">
      <c r="A5" s="175" t="s">
        <v>158</v>
      </c>
      <c r="B5" s="176"/>
      <c r="C5" s="48"/>
      <c r="D5" s="37"/>
      <c r="E5" s="36"/>
      <c r="G5" s="141"/>
      <c r="H5" s="133"/>
      <c r="I5" s="133"/>
    </row>
    <row r="6" spans="1:20" ht="15" customHeight="1">
      <c r="A6" s="36"/>
      <c r="B6" s="36"/>
      <c r="C6" s="36"/>
      <c r="D6" s="36"/>
      <c r="E6" s="36"/>
      <c r="F6" s="36"/>
      <c r="G6" s="141"/>
      <c r="H6" s="133"/>
      <c r="I6" s="133"/>
      <c r="J6" s="36"/>
      <c r="K6" s="36"/>
      <c r="L6" s="31"/>
      <c r="M6" s="31"/>
      <c r="N6" s="142"/>
      <c r="O6" s="142"/>
      <c r="P6" s="42"/>
      <c r="T6" s="36"/>
    </row>
    <row r="7" spans="1:20" ht="15" customHeight="1" thickBo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133"/>
      <c r="P7" s="133"/>
      <c r="Q7" s="133"/>
      <c r="R7" s="36"/>
      <c r="S7" s="36"/>
      <c r="T7" s="36"/>
    </row>
    <row r="8" spans="1:20" ht="15" customHeight="1">
      <c r="A8" s="36"/>
      <c r="B8" s="173" t="s">
        <v>76</v>
      </c>
      <c r="C8" s="179"/>
      <c r="D8" s="173" t="s">
        <v>43</v>
      </c>
      <c r="E8" s="174"/>
      <c r="F8" s="174"/>
      <c r="G8" s="124" t="s">
        <v>82</v>
      </c>
      <c r="H8" s="173" t="s">
        <v>44</v>
      </c>
      <c r="I8" s="174"/>
      <c r="J8" s="174"/>
      <c r="K8" s="124" t="s">
        <v>82</v>
      </c>
      <c r="L8" s="173" t="s">
        <v>47</v>
      </c>
      <c r="M8" s="174"/>
      <c r="N8" s="174"/>
      <c r="O8" s="124" t="s">
        <v>82</v>
      </c>
      <c r="P8" s="173" t="s">
        <v>48</v>
      </c>
      <c r="Q8" s="174"/>
      <c r="R8" s="174"/>
      <c r="S8" s="124" t="s">
        <v>82</v>
      </c>
    </row>
    <row r="9" spans="1:20" ht="15" customHeight="1">
      <c r="A9" s="61" t="s">
        <v>39</v>
      </c>
      <c r="B9" s="63" t="s">
        <v>80</v>
      </c>
      <c r="C9" s="64" t="s">
        <v>41</v>
      </c>
      <c r="D9" s="63" t="s">
        <v>78</v>
      </c>
      <c r="E9" s="53" t="s">
        <v>79</v>
      </c>
      <c r="F9" s="53" t="s">
        <v>80</v>
      </c>
      <c r="G9" s="64" t="s">
        <v>79</v>
      </c>
      <c r="H9" s="63" t="s">
        <v>78</v>
      </c>
      <c r="I9" s="53" t="s">
        <v>79</v>
      </c>
      <c r="J9" s="53" t="s">
        <v>80</v>
      </c>
      <c r="K9" s="64" t="s">
        <v>79</v>
      </c>
      <c r="L9" s="63" t="s">
        <v>78</v>
      </c>
      <c r="M9" s="53" t="s">
        <v>79</v>
      </c>
      <c r="N9" s="53" t="s">
        <v>80</v>
      </c>
      <c r="O9" s="76"/>
      <c r="P9" s="77" t="s">
        <v>77</v>
      </c>
      <c r="Q9" s="53" t="s">
        <v>79</v>
      </c>
      <c r="R9" s="53" t="s">
        <v>80</v>
      </c>
      <c r="S9" s="64" t="s">
        <v>79</v>
      </c>
    </row>
    <row r="10" spans="1:20" ht="15" customHeight="1">
      <c r="A10" s="62">
        <v>40892</v>
      </c>
      <c r="B10" s="135"/>
      <c r="C10" s="65"/>
      <c r="D10" s="67"/>
      <c r="E10" s="55"/>
      <c r="F10" s="56"/>
      <c r="G10" s="68"/>
      <c r="H10" s="73"/>
      <c r="I10" s="57"/>
      <c r="J10" s="57"/>
      <c r="K10" s="68"/>
      <c r="L10" s="67"/>
      <c r="M10" s="55"/>
      <c r="N10" s="56"/>
      <c r="O10" s="68"/>
      <c r="P10" s="67"/>
      <c r="Q10" s="55"/>
      <c r="R10" s="58"/>
      <c r="S10" s="78"/>
    </row>
    <row r="11" spans="1:20" ht="15" customHeight="1">
      <c r="A11" s="62">
        <v>40589</v>
      </c>
      <c r="B11" s="135"/>
      <c r="C11" s="65"/>
      <c r="D11" s="67"/>
      <c r="E11" s="55"/>
      <c r="F11" s="56"/>
      <c r="G11" s="68"/>
      <c r="H11" s="73"/>
      <c r="I11" s="57"/>
      <c r="J11" s="57"/>
      <c r="K11" s="68"/>
      <c r="L11" s="67"/>
      <c r="M11" s="55"/>
      <c r="N11" s="56"/>
      <c r="O11" s="68"/>
      <c r="P11" s="67"/>
      <c r="Q11" s="55"/>
      <c r="R11" s="58"/>
      <c r="S11" s="78"/>
    </row>
    <row r="12" spans="1:20" ht="15" customHeight="1">
      <c r="A12" s="62">
        <v>40648</v>
      </c>
      <c r="B12" s="135"/>
      <c r="C12" s="65"/>
      <c r="D12" s="67"/>
      <c r="E12" s="55"/>
      <c r="F12" s="56"/>
      <c r="G12" s="68"/>
      <c r="H12" s="73"/>
      <c r="I12" s="57"/>
      <c r="J12" s="57"/>
      <c r="K12" s="68"/>
      <c r="L12" s="67"/>
      <c r="M12" s="55"/>
      <c r="N12" s="56"/>
      <c r="O12" s="68"/>
      <c r="P12" s="67"/>
      <c r="Q12" s="55"/>
      <c r="R12" s="58"/>
      <c r="S12" s="78"/>
    </row>
    <row r="13" spans="1:20" ht="15" customHeight="1" thickBot="1">
      <c r="A13" s="62">
        <v>40678</v>
      </c>
      <c r="B13" s="136"/>
      <c r="C13" s="66"/>
      <c r="D13" s="69"/>
      <c r="E13" s="70"/>
      <c r="F13" s="71"/>
      <c r="G13" s="72"/>
      <c r="H13" s="74"/>
      <c r="I13" s="75"/>
      <c r="J13" s="75"/>
      <c r="K13" s="72"/>
      <c r="L13" s="69"/>
      <c r="M13" s="70"/>
      <c r="N13" s="71"/>
      <c r="O13" s="72"/>
      <c r="P13" s="69"/>
      <c r="Q13" s="70"/>
      <c r="R13" s="79"/>
      <c r="S13" s="80"/>
    </row>
    <row r="14" spans="1:20" ht="12" customHeight="1" thickBot="1">
      <c r="A14" s="125"/>
      <c r="B14" s="126"/>
      <c r="C14" s="127"/>
      <c r="D14" s="128"/>
      <c r="E14" s="128"/>
      <c r="F14" s="129"/>
      <c r="G14" s="128"/>
      <c r="H14" s="130"/>
      <c r="I14" s="130"/>
      <c r="J14" s="130"/>
      <c r="K14" s="128"/>
      <c r="L14" s="128"/>
      <c r="M14" s="128"/>
      <c r="N14" s="129"/>
      <c r="O14" s="128"/>
      <c r="P14" s="128"/>
      <c r="Q14" s="128"/>
      <c r="R14" s="131"/>
      <c r="S14" s="130"/>
    </row>
    <row r="15" spans="1:20" ht="10.5" customHeight="1" thickTop="1">
      <c r="A15" s="38"/>
      <c r="B15" s="38"/>
      <c r="C15" s="36"/>
      <c r="D15" s="36"/>
      <c r="E15" s="36"/>
      <c r="F15" s="36"/>
      <c r="G15" s="36"/>
      <c r="H15" s="36"/>
      <c r="I15" s="36"/>
      <c r="J15" s="36"/>
      <c r="K15" s="36"/>
    </row>
    <row r="16" spans="1:20" ht="15" customHeight="1">
      <c r="C16" s="28" t="s">
        <v>40</v>
      </c>
      <c r="D16" s="28" t="s">
        <v>41</v>
      </c>
      <c r="E16" s="28" t="s">
        <v>50</v>
      </c>
      <c r="H16" s="39"/>
      <c r="I16" s="42" t="s">
        <v>45</v>
      </c>
      <c r="J16" s="39"/>
      <c r="K16" s="42" t="s">
        <v>79</v>
      </c>
      <c r="L16" s="42"/>
      <c r="N16" s="166" t="s">
        <v>51</v>
      </c>
      <c r="O16" s="166"/>
      <c r="P16" s="167" t="s">
        <v>80</v>
      </c>
      <c r="Q16" s="167"/>
      <c r="R16" s="168" t="s">
        <v>83</v>
      </c>
      <c r="S16" s="168"/>
    </row>
    <row r="17" spans="1:19" ht="15" customHeight="1">
      <c r="A17" s="177" t="s">
        <v>54</v>
      </c>
      <c r="B17" s="177"/>
      <c r="C17" s="59"/>
      <c r="D17" s="51"/>
      <c r="E17" s="181"/>
      <c r="F17" s="181"/>
      <c r="G17" s="31"/>
      <c r="H17" s="28" t="s">
        <v>42</v>
      </c>
      <c r="I17" s="57"/>
      <c r="J17" s="46" t="s">
        <v>52</v>
      </c>
      <c r="K17" s="51"/>
      <c r="L17" s="46" t="s">
        <v>53</v>
      </c>
      <c r="M17" s="51"/>
      <c r="N17" s="169"/>
      <c r="O17" s="170"/>
      <c r="P17" s="171"/>
      <c r="Q17" s="172"/>
      <c r="R17" s="171"/>
      <c r="S17" s="172"/>
    </row>
    <row r="18" spans="1:19" ht="15" customHeight="1">
      <c r="A18" s="177" t="s">
        <v>54</v>
      </c>
      <c r="B18" s="177"/>
      <c r="C18" s="59"/>
      <c r="D18" s="51"/>
      <c r="E18" s="181"/>
      <c r="F18" s="181"/>
      <c r="G18" s="31"/>
      <c r="I18" s="57"/>
      <c r="J18" s="46" t="s">
        <v>52</v>
      </c>
      <c r="K18" s="51"/>
      <c r="L18" s="46" t="s">
        <v>53</v>
      </c>
      <c r="M18" s="51"/>
      <c r="N18" s="169"/>
      <c r="O18" s="170"/>
      <c r="P18" s="171"/>
      <c r="Q18" s="172"/>
      <c r="R18" s="171"/>
      <c r="S18" s="172"/>
    </row>
    <row r="19" spans="1:19" ht="15" customHeight="1">
      <c r="A19" s="177" t="s">
        <v>54</v>
      </c>
      <c r="B19" s="177"/>
      <c r="C19" s="59"/>
      <c r="D19" s="51"/>
      <c r="E19" s="181"/>
      <c r="F19" s="181"/>
      <c r="G19" s="31"/>
      <c r="I19" s="57"/>
      <c r="J19" s="46" t="s">
        <v>52</v>
      </c>
      <c r="K19" s="51"/>
      <c r="L19" s="46" t="s">
        <v>53</v>
      </c>
      <c r="M19" s="51"/>
      <c r="N19" s="169"/>
      <c r="O19" s="170"/>
      <c r="P19" s="171"/>
      <c r="Q19" s="172"/>
      <c r="R19" s="171"/>
      <c r="S19" s="172"/>
    </row>
    <row r="20" spans="1:19" ht="15" customHeight="1">
      <c r="A20" s="177" t="s">
        <v>54</v>
      </c>
      <c r="B20" s="177"/>
      <c r="C20" s="59"/>
      <c r="D20" s="51"/>
      <c r="E20" s="181"/>
      <c r="F20" s="181"/>
      <c r="G20" s="31"/>
      <c r="I20" s="57"/>
      <c r="J20" s="46" t="s">
        <v>52</v>
      </c>
      <c r="K20" s="51"/>
      <c r="L20" s="46" t="s">
        <v>53</v>
      </c>
      <c r="M20" s="51"/>
      <c r="N20" s="169"/>
      <c r="O20" s="170"/>
      <c r="P20" s="171"/>
      <c r="Q20" s="172"/>
      <c r="R20" s="171"/>
      <c r="S20" s="172"/>
    </row>
    <row r="21" spans="1:19" ht="15" customHeight="1">
      <c r="A21" s="177" t="s">
        <v>55</v>
      </c>
      <c r="B21" s="177"/>
      <c r="C21" s="59"/>
      <c r="D21" s="51"/>
      <c r="E21" s="181"/>
      <c r="F21" s="181"/>
      <c r="G21" s="31"/>
      <c r="I21" s="57"/>
      <c r="J21" s="46" t="s">
        <v>52</v>
      </c>
      <c r="K21" s="51"/>
      <c r="L21" s="46" t="s">
        <v>53</v>
      </c>
      <c r="M21" s="51"/>
      <c r="N21" s="169"/>
      <c r="O21" s="170"/>
      <c r="P21" s="171"/>
      <c r="Q21" s="172"/>
      <c r="R21" s="171"/>
      <c r="S21" s="172"/>
    </row>
    <row r="22" spans="1:19" ht="15" customHeight="1">
      <c r="A22" s="45" t="s">
        <v>84</v>
      </c>
      <c r="B22" s="137"/>
      <c r="C22" s="59"/>
      <c r="D22" s="51"/>
      <c r="E22" s="183"/>
      <c r="F22" s="183"/>
      <c r="G22" s="31"/>
      <c r="I22" s="57"/>
      <c r="J22" s="46" t="s">
        <v>52</v>
      </c>
      <c r="K22" s="51"/>
      <c r="L22" s="46" t="s">
        <v>53</v>
      </c>
      <c r="M22" s="51"/>
      <c r="N22" s="169"/>
      <c r="O22" s="170"/>
      <c r="P22" s="171"/>
      <c r="Q22" s="172"/>
      <c r="R22" s="171"/>
      <c r="S22" s="172"/>
    </row>
    <row r="23" spans="1:19" ht="15" customHeight="1">
      <c r="E23" s="182"/>
      <c r="F23" s="182"/>
      <c r="I23" s="57"/>
      <c r="J23" s="46" t="s">
        <v>52</v>
      </c>
      <c r="K23" s="51"/>
      <c r="L23" s="46" t="s">
        <v>53</v>
      </c>
      <c r="M23" s="51"/>
      <c r="N23" s="169"/>
      <c r="O23" s="170"/>
      <c r="P23" s="171"/>
      <c r="Q23" s="172"/>
      <c r="R23" s="171"/>
      <c r="S23" s="172"/>
    </row>
    <row r="24" spans="1:19" ht="15" customHeight="1">
      <c r="A24" s="28" t="s">
        <v>56</v>
      </c>
      <c r="E24" s="180"/>
      <c r="F24" s="180"/>
      <c r="I24" s="57"/>
      <c r="J24" s="46" t="s">
        <v>52</v>
      </c>
      <c r="K24" s="51"/>
      <c r="L24" s="46" t="s">
        <v>53</v>
      </c>
      <c r="M24" s="51"/>
      <c r="N24" s="169"/>
      <c r="O24" s="170"/>
      <c r="P24" s="171"/>
      <c r="Q24" s="172"/>
      <c r="R24" s="171"/>
      <c r="S24" s="172"/>
    </row>
    <row r="25" spans="1:19" ht="15" customHeight="1">
      <c r="A25" s="28" t="s">
        <v>57</v>
      </c>
      <c r="E25" s="180"/>
      <c r="F25" s="180"/>
      <c r="G25" s="32"/>
      <c r="I25" s="164" t="s">
        <v>5</v>
      </c>
      <c r="J25" s="165"/>
      <c r="K25" s="165"/>
      <c r="L25" s="165"/>
      <c r="M25" s="165"/>
      <c r="N25" s="165"/>
      <c r="O25" s="165"/>
      <c r="P25" s="165"/>
      <c r="Q25" s="163"/>
      <c r="R25" s="162"/>
      <c r="S25" s="163"/>
    </row>
    <row r="26" spans="1:19" ht="15" customHeight="1">
      <c r="A26" s="28" t="s">
        <v>156</v>
      </c>
      <c r="E26" s="181"/>
      <c r="F26" s="181"/>
      <c r="G26" s="32"/>
      <c r="J26" s="39"/>
      <c r="K26" s="42"/>
      <c r="L26" s="39"/>
      <c r="M26" s="42"/>
      <c r="N26" s="42"/>
      <c r="P26" s="34"/>
      <c r="Q26" s="31"/>
    </row>
    <row r="27" spans="1:19" ht="15" customHeight="1">
      <c r="E27" s="40"/>
      <c r="F27" s="40"/>
      <c r="G27" s="32"/>
      <c r="I27" s="42" t="s">
        <v>45</v>
      </c>
      <c r="J27" s="39"/>
      <c r="K27" s="42" t="s">
        <v>79</v>
      </c>
      <c r="L27" s="42"/>
      <c r="N27" s="166" t="s">
        <v>51</v>
      </c>
      <c r="O27" s="166"/>
      <c r="P27" s="167" t="s">
        <v>80</v>
      </c>
      <c r="Q27" s="167"/>
      <c r="R27" s="168" t="s">
        <v>83</v>
      </c>
      <c r="S27" s="168"/>
    </row>
    <row r="28" spans="1:19" ht="15" customHeight="1">
      <c r="A28" s="28" t="s">
        <v>38</v>
      </c>
      <c r="E28" s="186"/>
      <c r="F28" s="186"/>
      <c r="G28" s="32"/>
      <c r="H28" s="28" t="s">
        <v>46</v>
      </c>
      <c r="I28" s="57"/>
      <c r="J28" s="46" t="s">
        <v>52</v>
      </c>
      <c r="K28" s="51"/>
      <c r="L28" s="46" t="s">
        <v>53</v>
      </c>
      <c r="M28" s="51"/>
      <c r="N28" s="169"/>
      <c r="O28" s="170"/>
      <c r="P28" s="171"/>
      <c r="Q28" s="172"/>
      <c r="R28" s="171"/>
      <c r="S28" s="172"/>
    </row>
    <row r="29" spans="1:19" ht="15" customHeight="1">
      <c r="E29" s="41"/>
      <c r="F29" s="41"/>
      <c r="G29" s="32"/>
      <c r="I29" s="57"/>
      <c r="J29" s="46" t="s">
        <v>52</v>
      </c>
      <c r="K29" s="51"/>
      <c r="L29" s="46" t="s">
        <v>53</v>
      </c>
      <c r="M29" s="51"/>
      <c r="N29" s="169"/>
      <c r="O29" s="170"/>
      <c r="P29" s="171"/>
      <c r="Q29" s="172"/>
      <c r="R29" s="171"/>
      <c r="S29" s="172"/>
    </row>
    <row r="30" spans="1:19" ht="15" customHeight="1">
      <c r="A30" s="28" t="s">
        <v>197</v>
      </c>
      <c r="E30" s="181"/>
      <c r="F30" s="181"/>
      <c r="G30" s="31"/>
      <c r="I30" s="57"/>
      <c r="J30" s="46" t="s">
        <v>52</v>
      </c>
      <c r="K30" s="51"/>
      <c r="L30" s="46" t="s">
        <v>53</v>
      </c>
      <c r="M30" s="51"/>
      <c r="N30" s="169"/>
      <c r="O30" s="170"/>
      <c r="P30" s="171"/>
      <c r="Q30" s="172"/>
      <c r="R30" s="171"/>
      <c r="S30" s="172"/>
    </row>
    <row r="31" spans="1:19" ht="15" customHeight="1">
      <c r="A31" s="28" t="s">
        <v>59</v>
      </c>
      <c r="E31" s="189"/>
      <c r="F31" s="189"/>
      <c r="I31" s="57"/>
      <c r="J31" s="46" t="s">
        <v>52</v>
      </c>
      <c r="K31" s="51"/>
      <c r="L31" s="46" t="s">
        <v>53</v>
      </c>
      <c r="M31" s="51"/>
      <c r="N31" s="169"/>
      <c r="O31" s="170"/>
      <c r="P31" s="171"/>
      <c r="Q31" s="172"/>
      <c r="R31" s="171"/>
      <c r="S31" s="172"/>
    </row>
    <row r="32" spans="1:19" ht="15" customHeight="1">
      <c r="E32" s="187"/>
      <c r="F32" s="187"/>
      <c r="G32" s="33"/>
      <c r="I32" s="57"/>
      <c r="J32" s="46" t="s">
        <v>52</v>
      </c>
      <c r="K32" s="51"/>
      <c r="L32" s="46" t="s">
        <v>53</v>
      </c>
      <c r="M32" s="51"/>
      <c r="N32" s="169"/>
      <c r="O32" s="170"/>
      <c r="P32" s="171"/>
      <c r="Q32" s="172"/>
      <c r="R32" s="171"/>
      <c r="S32" s="172"/>
    </row>
    <row r="33" spans="1:19" ht="15" customHeight="1">
      <c r="A33" s="28" t="s">
        <v>85</v>
      </c>
      <c r="E33" s="183"/>
      <c r="F33" s="183"/>
      <c r="G33" s="32"/>
      <c r="I33" s="57"/>
      <c r="J33" s="46" t="s">
        <v>52</v>
      </c>
      <c r="K33" s="51"/>
      <c r="L33" s="46" t="s">
        <v>53</v>
      </c>
      <c r="M33" s="51"/>
      <c r="N33" s="169"/>
      <c r="O33" s="170"/>
      <c r="P33" s="171"/>
      <c r="Q33" s="172"/>
      <c r="R33" s="171"/>
      <c r="S33" s="172"/>
    </row>
    <row r="34" spans="1:19" ht="15" customHeight="1">
      <c r="A34" s="28" t="s">
        <v>157</v>
      </c>
      <c r="E34" s="188"/>
      <c r="F34" s="188"/>
      <c r="G34" s="34"/>
      <c r="I34" s="57"/>
      <c r="J34" s="46" t="s">
        <v>52</v>
      </c>
      <c r="K34" s="51"/>
      <c r="L34" s="46" t="s">
        <v>53</v>
      </c>
      <c r="M34" s="51"/>
      <c r="N34" s="169"/>
      <c r="O34" s="170"/>
      <c r="P34" s="171"/>
      <c r="Q34" s="172"/>
      <c r="R34" s="171"/>
      <c r="S34" s="172"/>
    </row>
    <row r="35" spans="1:19" ht="15" customHeight="1" thickBot="1">
      <c r="G35" s="35"/>
      <c r="I35" s="57"/>
      <c r="J35" s="46" t="s">
        <v>52</v>
      </c>
      <c r="K35" s="51"/>
      <c r="L35" s="46" t="s">
        <v>53</v>
      </c>
      <c r="M35" s="51"/>
      <c r="N35" s="169"/>
      <c r="O35" s="170"/>
      <c r="P35" s="171"/>
      <c r="Q35" s="172"/>
      <c r="R35" s="171"/>
      <c r="S35" s="172"/>
    </row>
    <row r="36" spans="1:19" ht="15" customHeight="1" thickBot="1">
      <c r="A36" s="28" t="s">
        <v>90</v>
      </c>
      <c r="E36" s="184"/>
      <c r="F36" s="185"/>
      <c r="I36" s="164" t="s">
        <v>5</v>
      </c>
      <c r="J36" s="165"/>
      <c r="K36" s="165"/>
      <c r="L36" s="165"/>
      <c r="M36" s="165"/>
      <c r="N36" s="165"/>
      <c r="O36" s="165"/>
      <c r="P36" s="165"/>
      <c r="Q36" s="163"/>
      <c r="R36" s="162"/>
      <c r="S36" s="163"/>
    </row>
    <row r="37" spans="1:19" ht="15" customHeight="1">
      <c r="G37" s="27"/>
      <c r="H37" s="29"/>
      <c r="J37" s="42"/>
      <c r="K37" s="42"/>
      <c r="L37" s="81"/>
      <c r="M37" s="42"/>
    </row>
    <row r="38" spans="1:19" ht="15" customHeight="1">
      <c r="I38" s="27"/>
      <c r="J38" s="29"/>
      <c r="K38" s="29"/>
      <c r="L38" s="30"/>
      <c r="M38" s="29"/>
    </row>
    <row r="40" spans="1:19" ht="15" customHeight="1">
      <c r="G40" s="27"/>
    </row>
    <row r="41" spans="1:19" ht="15" customHeight="1">
      <c r="G41" s="27"/>
    </row>
  </sheetData>
  <mergeCells count="89">
    <mergeCell ref="D8:F8"/>
    <mergeCell ref="A1:B1"/>
    <mergeCell ref="A3:B3"/>
    <mergeCell ref="A4:B4"/>
    <mergeCell ref="A5:B5"/>
    <mergeCell ref="B8:C8"/>
    <mergeCell ref="H8:J8"/>
    <mergeCell ref="L8:N8"/>
    <mergeCell ref="P8:R8"/>
    <mergeCell ref="N16:O16"/>
    <mergeCell ref="P16:Q16"/>
    <mergeCell ref="R16:S16"/>
    <mergeCell ref="P17:Q17"/>
    <mergeCell ref="R17:S17"/>
    <mergeCell ref="A18:B18"/>
    <mergeCell ref="E18:F18"/>
    <mergeCell ref="N18:O18"/>
    <mergeCell ref="P18:Q18"/>
    <mergeCell ref="R18:S18"/>
    <mergeCell ref="A21:B21"/>
    <mergeCell ref="E21:F21"/>
    <mergeCell ref="A17:B17"/>
    <mergeCell ref="E17:F17"/>
    <mergeCell ref="N17:O17"/>
    <mergeCell ref="A20:B20"/>
    <mergeCell ref="E20:F20"/>
    <mergeCell ref="N20:O20"/>
    <mergeCell ref="N21:O21"/>
    <mergeCell ref="P20:Q20"/>
    <mergeCell ref="R20:S20"/>
    <mergeCell ref="A19:B19"/>
    <mergeCell ref="E19:F19"/>
    <mergeCell ref="N19:O19"/>
    <mergeCell ref="P19:Q19"/>
    <mergeCell ref="R19:S19"/>
    <mergeCell ref="P21:Q21"/>
    <mergeCell ref="R21:S21"/>
    <mergeCell ref="E23:F23"/>
    <mergeCell ref="N23:O23"/>
    <mergeCell ref="P23:Q23"/>
    <mergeCell ref="R23:S23"/>
    <mergeCell ref="E22:F22"/>
    <mergeCell ref="N22:O22"/>
    <mergeCell ref="P22:Q22"/>
    <mergeCell ref="R22:S22"/>
    <mergeCell ref="E24:F24"/>
    <mergeCell ref="N24:O24"/>
    <mergeCell ref="P24:Q24"/>
    <mergeCell ref="R24:S24"/>
    <mergeCell ref="E25:F25"/>
    <mergeCell ref="I25:Q25"/>
    <mergeCell ref="R25:S25"/>
    <mergeCell ref="E26:F26"/>
    <mergeCell ref="N27:O27"/>
    <mergeCell ref="P27:Q27"/>
    <mergeCell ref="R27:S27"/>
    <mergeCell ref="E28:F28"/>
    <mergeCell ref="N28:O28"/>
    <mergeCell ref="P28:Q28"/>
    <mergeCell ref="R28:S28"/>
    <mergeCell ref="N29:O29"/>
    <mergeCell ref="P29:Q29"/>
    <mergeCell ref="R29:S29"/>
    <mergeCell ref="E30:F30"/>
    <mergeCell ref="N30:O30"/>
    <mergeCell ref="P30:Q30"/>
    <mergeCell ref="R30:S30"/>
    <mergeCell ref="E31:F31"/>
    <mergeCell ref="N31:O31"/>
    <mergeCell ref="P31:Q31"/>
    <mergeCell ref="R31:S31"/>
    <mergeCell ref="E32:F32"/>
    <mergeCell ref="N32:O32"/>
    <mergeCell ref="P32:Q32"/>
    <mergeCell ref="R32:S32"/>
    <mergeCell ref="E33:F33"/>
    <mergeCell ref="N33:O33"/>
    <mergeCell ref="P33:Q33"/>
    <mergeCell ref="R33:S33"/>
    <mergeCell ref="E36:F36"/>
    <mergeCell ref="I36:Q36"/>
    <mergeCell ref="R36:S36"/>
    <mergeCell ref="E34:F34"/>
    <mergeCell ref="N34:O34"/>
    <mergeCell ref="P34:Q34"/>
    <mergeCell ref="R34:S34"/>
    <mergeCell ref="N35:O35"/>
    <mergeCell ref="P35:Q35"/>
    <mergeCell ref="R35:S35"/>
  </mergeCells>
  <pageMargins left="0.7" right="0.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Sales Ledger</vt:lpstr>
      <vt:lpstr>Production</vt:lpstr>
      <vt:lpstr>Hedging Example</vt:lpstr>
      <vt:lpstr>Rev Calc</vt:lpstr>
      <vt:lpstr>Hail Ins</vt:lpstr>
      <vt:lpstr>WHEAT Budget</vt:lpstr>
      <vt:lpstr>CORN Budget</vt:lpstr>
      <vt:lpstr>Ledger (print)</vt:lpstr>
    </vt:vector>
  </TitlesOfParts>
  <Company>TCE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Wade Polk</dc:creator>
  <cp:lastModifiedBy>JLHuybers</cp:lastModifiedBy>
  <cp:lastPrinted>2011-11-28T15:09:43Z</cp:lastPrinted>
  <dcterms:created xsi:type="dcterms:W3CDTF">2009-01-08T18:42:25Z</dcterms:created>
  <dcterms:modified xsi:type="dcterms:W3CDTF">2011-12-13T17:47:37Z</dcterms:modified>
</cp:coreProperties>
</file>