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60" windowWidth="22188" windowHeight="890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6" i="1" l="1"/>
  <c r="K16" i="1"/>
  <c r="J16" i="1"/>
  <c r="I16" i="1"/>
  <c r="H16" i="1"/>
  <c r="G16" i="1"/>
  <c r="F16" i="1"/>
  <c r="E16" i="1"/>
  <c r="D16" i="1"/>
  <c r="C16" i="1"/>
  <c r="B16" i="1"/>
  <c r="L14" i="1" l="1"/>
  <c r="K14" i="1"/>
  <c r="J14" i="1"/>
  <c r="I14" i="1"/>
  <c r="H14" i="1"/>
  <c r="G14" i="1"/>
  <c r="F14" i="1"/>
  <c r="E14" i="1"/>
  <c r="D14" i="1"/>
  <c r="C14" i="1"/>
  <c r="B14" i="1"/>
  <c r="D18" i="1" l="1"/>
  <c r="E18" i="1" s="1"/>
  <c r="F18" i="1" s="1"/>
  <c r="H18" i="1" s="1"/>
  <c r="J18" i="1" s="1"/>
  <c r="K18" i="1" s="1"/>
  <c r="L18" i="1" s="1"/>
  <c r="L90" i="1" l="1"/>
  <c r="K90" i="1"/>
  <c r="J90" i="1"/>
  <c r="I90" i="1"/>
  <c r="H90" i="1"/>
  <c r="G90" i="1"/>
  <c r="F90" i="1"/>
  <c r="F31" i="1" s="1"/>
  <c r="E90" i="1"/>
  <c r="E31" i="1" s="1"/>
  <c r="D90" i="1"/>
  <c r="D31" i="1" s="1"/>
  <c r="C90" i="1"/>
  <c r="C31" i="1" s="1"/>
  <c r="B90" i="1"/>
  <c r="B31" i="1" s="1"/>
  <c r="L55" i="1"/>
  <c r="K55" i="1"/>
  <c r="J55" i="1"/>
  <c r="I55" i="1"/>
  <c r="H55" i="1"/>
  <c r="G55" i="1"/>
  <c r="F55" i="1"/>
  <c r="E55" i="1"/>
  <c r="D55" i="1"/>
  <c r="C55" i="1"/>
  <c r="B51" i="1"/>
  <c r="L49" i="1"/>
  <c r="K49" i="1"/>
  <c r="J49" i="1"/>
  <c r="I49" i="1"/>
  <c r="G49" i="1"/>
  <c r="E49" i="1"/>
  <c r="D49" i="1"/>
  <c r="C49" i="1"/>
  <c r="B49" i="1"/>
  <c r="L47" i="1"/>
  <c r="K47" i="1"/>
  <c r="J47" i="1"/>
  <c r="I47" i="1"/>
  <c r="G47" i="1"/>
  <c r="F47" i="1"/>
  <c r="E47" i="1"/>
  <c r="D47" i="1"/>
  <c r="C47" i="1"/>
  <c r="B47" i="1"/>
  <c r="L46" i="1"/>
  <c r="K46" i="1"/>
  <c r="J46" i="1"/>
  <c r="I46" i="1"/>
  <c r="L42" i="1"/>
  <c r="K42" i="1"/>
  <c r="J42" i="1"/>
  <c r="I42" i="1"/>
  <c r="L35" i="1"/>
  <c r="K35" i="1"/>
  <c r="J35" i="1"/>
  <c r="I35" i="1"/>
  <c r="H35" i="1"/>
  <c r="G35" i="1"/>
  <c r="F35" i="1"/>
  <c r="E35" i="1"/>
  <c r="D35" i="1"/>
  <c r="C35" i="1"/>
  <c r="B35" i="1"/>
  <c r="L32" i="1"/>
  <c r="K32" i="1"/>
  <c r="J32" i="1"/>
  <c r="I32" i="1"/>
  <c r="L31" i="1"/>
  <c r="K31" i="1"/>
  <c r="J31" i="1"/>
  <c r="I31" i="1"/>
  <c r="G31" i="1"/>
  <c r="L30" i="1"/>
  <c r="K30" i="1"/>
  <c r="J30" i="1"/>
  <c r="I30" i="1"/>
  <c r="H30" i="1"/>
  <c r="G30" i="1"/>
  <c r="F30" i="1"/>
  <c r="E30" i="1"/>
  <c r="D30" i="1"/>
  <c r="C30" i="1"/>
  <c r="B30" i="1"/>
  <c r="D24" i="1"/>
  <c r="A56" i="1" s="1"/>
  <c r="L20" i="1"/>
  <c r="K20" i="1"/>
  <c r="J20" i="1"/>
  <c r="I20" i="1"/>
  <c r="D20" i="1"/>
  <c r="C20" i="1"/>
  <c r="B20" i="1"/>
  <c r="H47" i="1"/>
  <c r="L10" i="1"/>
  <c r="K10" i="1"/>
  <c r="J10" i="1"/>
  <c r="I10" i="1"/>
  <c r="H10" i="1"/>
  <c r="G10" i="1"/>
  <c r="F10" i="1"/>
  <c r="E10" i="1"/>
  <c r="D10" i="1"/>
  <c r="C10" i="1"/>
  <c r="B10" i="1"/>
  <c r="C9" i="1"/>
  <c r="D9" i="1" s="1"/>
  <c r="E9" i="1" s="1"/>
  <c r="F9" i="1" s="1"/>
  <c r="G9" i="1" s="1"/>
  <c r="H9" i="1" s="1"/>
  <c r="I9" i="1" s="1"/>
  <c r="J9" i="1" s="1"/>
  <c r="K9" i="1" s="1"/>
  <c r="L9" i="1" s="1"/>
  <c r="J44" i="1" l="1"/>
  <c r="F20" i="1"/>
  <c r="F37" i="1" s="1"/>
  <c r="E20" i="1"/>
  <c r="E37" i="1" s="1"/>
  <c r="K44" i="1"/>
  <c r="K56" i="1" s="1"/>
  <c r="K93" i="1" s="1"/>
  <c r="J56" i="1"/>
  <c r="J93" i="1" s="1"/>
  <c r="J37" i="1"/>
  <c r="J39" i="1" s="1"/>
  <c r="G32" i="1"/>
  <c r="G46" i="1"/>
  <c r="D32" i="1"/>
  <c r="I37" i="1"/>
  <c r="I39" i="1" s="1"/>
  <c r="B32" i="1"/>
  <c r="F32" i="1"/>
  <c r="K37" i="1"/>
  <c r="K39" i="1" s="1"/>
  <c r="H31" i="1"/>
  <c r="M31" i="1" s="1"/>
  <c r="L37" i="1"/>
  <c r="L38" i="1" s="1"/>
  <c r="E32" i="1"/>
  <c r="C32" i="1"/>
  <c r="L44" i="1"/>
  <c r="L56" i="1" s="1"/>
  <c r="L93" i="1" s="1"/>
  <c r="I44" i="1"/>
  <c r="I56" i="1" s="1"/>
  <c r="I93" i="1" s="1"/>
  <c r="A93" i="1"/>
  <c r="D37" i="1"/>
  <c r="G20" i="1"/>
  <c r="H20" i="1"/>
  <c r="B37" i="1"/>
  <c r="M30" i="1"/>
  <c r="C37" i="1"/>
  <c r="D46" i="1"/>
  <c r="H46" i="1"/>
  <c r="H49" i="1" s="1"/>
  <c r="E46" i="1"/>
  <c r="B46" i="1"/>
  <c r="F46" i="1"/>
  <c r="F49" i="1" s="1"/>
  <c r="C46" i="1"/>
  <c r="J38" i="1" l="1"/>
  <c r="L39" i="1"/>
  <c r="H32" i="1"/>
  <c r="I38" i="1"/>
  <c r="K38" i="1"/>
  <c r="H37" i="1"/>
  <c r="B38" i="1"/>
  <c r="B39" i="1"/>
  <c r="E38" i="1"/>
  <c r="E39" i="1"/>
  <c r="D39" i="1"/>
  <c r="D38" i="1"/>
  <c r="G37" i="1"/>
  <c r="F38" i="1"/>
  <c r="F39" i="1"/>
  <c r="C38" i="1"/>
  <c r="C39" i="1"/>
  <c r="D42" i="1" l="1"/>
  <c r="D44" i="1" s="1"/>
  <c r="D56" i="1" s="1"/>
  <c r="D93" i="1" s="1"/>
  <c r="F42" i="1"/>
  <c r="F44" i="1" s="1"/>
  <c r="F56" i="1" s="1"/>
  <c r="F93" i="1" s="1"/>
  <c r="B42" i="1"/>
  <c r="B44" i="1" s="1"/>
  <c r="G38" i="1"/>
  <c r="G39" i="1"/>
  <c r="H39" i="1"/>
  <c r="H38" i="1"/>
  <c r="C42" i="1"/>
  <c r="C44" i="1" s="1"/>
  <c r="C56" i="1" s="1"/>
  <c r="C93" i="1" s="1"/>
  <c r="E42" i="1"/>
  <c r="E44" i="1" s="1"/>
  <c r="E56" i="1" s="1"/>
  <c r="E93" i="1" s="1"/>
  <c r="H42" i="1" l="1"/>
  <c r="H44" i="1" s="1"/>
  <c r="H56" i="1" s="1"/>
  <c r="H93" i="1" s="1"/>
  <c r="B56" i="1"/>
  <c r="A87" i="1"/>
  <c r="G42" i="1"/>
  <c r="G44" i="1" s="1"/>
  <c r="G56" i="1" s="1"/>
  <c r="G93" i="1" s="1"/>
  <c r="B87" i="1" l="1"/>
  <c r="A63" i="1" s="1"/>
  <c r="B93" i="1"/>
  <c r="M56" i="1" s="1"/>
  <c r="A84" i="1"/>
  <c r="A85" i="1" s="1"/>
  <c r="A61" i="1" s="1"/>
  <c r="A83" i="1"/>
  <c r="A59" i="1" l="1"/>
  <c r="A60" i="1"/>
  <c r="B83" i="1"/>
  <c r="A62" i="1" s="1"/>
</calcChain>
</file>

<file path=xl/sharedStrings.xml><?xml version="1.0" encoding="utf-8"?>
<sst xmlns="http://schemas.openxmlformats.org/spreadsheetml/2006/main" count="53" uniqueCount="50">
  <si>
    <t>Lb.</t>
  </si>
  <si>
    <t>Marginal Income Tax Rate</t>
  </si>
  <si>
    <t>%</t>
  </si>
  <si>
    <t>Capital Gains Tax Rate</t>
  </si>
  <si>
    <t xml:space="preserve">Expected Number of </t>
  </si>
  <si>
    <t>Self Employment Tax Rate</t>
  </si>
  <si>
    <t>Discount Rate</t>
  </si>
  <si>
    <t>Year</t>
  </si>
  <si>
    <t>Net Above Operating Cost</t>
  </si>
  <si>
    <t>Financial Information</t>
  </si>
  <si>
    <t>Equity Requirement (%)</t>
  </si>
  <si>
    <t>Equals</t>
  </si>
  <si>
    <t>Per Head</t>
  </si>
  <si>
    <t>Length of Note (Years)</t>
  </si>
  <si>
    <t>Interest Rate (%)</t>
  </si>
  <si>
    <t>Totals</t>
  </si>
  <si>
    <t>Interest Payment</t>
  </si>
  <si>
    <t>Principal Payment</t>
  </si>
  <si>
    <t>Debt Service Requirement</t>
  </si>
  <si>
    <t>Depreciation %</t>
  </si>
  <si>
    <t>Depreciation Expense</t>
  </si>
  <si>
    <t>Taxable Income</t>
  </si>
  <si>
    <t>Income Taxes</t>
  </si>
  <si>
    <t>Self Employment Taxes</t>
  </si>
  <si>
    <t>Cash Flow Available</t>
  </si>
  <si>
    <t>for Debt Service</t>
  </si>
  <si>
    <t>Net Cash Flow</t>
  </si>
  <si>
    <t>Salvage Value (After Tax)</t>
  </si>
  <si>
    <t>Tax Adjusted Discount Rate</t>
  </si>
  <si>
    <t>Cash Flows</t>
  </si>
  <si>
    <t>Net Present</t>
  </si>
  <si>
    <t>Year 0</t>
  </si>
  <si>
    <t>Year 1</t>
  </si>
  <si>
    <t>Value</t>
  </si>
  <si>
    <t>Comments regarding this investment scenario.</t>
  </si>
  <si>
    <t>Analysis Section</t>
  </si>
  <si>
    <t>Lamb Weight (Pounds)</t>
  </si>
  <si>
    <t>Wool Clip Weight (Pounds)</t>
  </si>
  <si>
    <t>Ewe Price ($/Head)</t>
  </si>
  <si>
    <t>Lambing Opportunities</t>
  </si>
  <si>
    <t>Cull Ewe Sale Weight (Pounds)</t>
  </si>
  <si>
    <t>Lamb Crop or Weaning %</t>
  </si>
  <si>
    <t>Lamb Price ($/Cwt)</t>
  </si>
  <si>
    <t>Wool Price ($/Cwt)</t>
  </si>
  <si>
    <t>Cull Ewe Price ($/Cwt)</t>
  </si>
  <si>
    <t>Gross Receipts (Lamb &amp; Wool Sales)</t>
  </si>
  <si>
    <t>Ewe Operating Cost/Year</t>
  </si>
  <si>
    <t>Tax Basis in Ewe</t>
  </si>
  <si>
    <t xml:space="preserve">Ewe Salvage Value </t>
  </si>
  <si>
    <t xml:space="preserve">                            Bid Price for Ewes Including Financing and Tax Implications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</si>
</sst>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7" formatCode="&quot;$&quot;#,##0.00_);\(&quot;$&quot;#,##0.00\)"/>
    <numFmt numFmtId="164" formatCode="#,##0.0_);\(#,##0.0\)"/>
  </numFmts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2"/>
      <color rgb="FFFF0000"/>
      <name val="Arial"/>
      <family val="2"/>
    </font>
    <font>
      <sz val="12"/>
      <color indexed="39"/>
      <name val="Arial"/>
      <family val="2"/>
    </font>
    <font>
      <sz val="12"/>
      <color rgb="FFFF0000"/>
      <name val="Arial"/>
      <family val="2"/>
    </font>
    <font>
      <sz val="10"/>
      <color indexed="3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ck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2" borderId="1" xfId="0" applyNumberFormat="1" applyFont="1" applyFill="1" applyBorder="1" applyProtection="1">
      <protection locked="0"/>
    </xf>
    <xf numFmtId="37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5" fontId="4" fillId="2" borderId="1" xfId="0" applyNumberFormat="1" applyFont="1" applyFill="1" applyBorder="1" applyProtection="1">
      <protection locked="0"/>
    </xf>
    <xf numFmtId="5" fontId="3" fillId="2" borderId="2" xfId="0" applyNumberFormat="1" applyFont="1" applyFill="1" applyBorder="1" applyProtection="1"/>
    <xf numFmtId="1" fontId="3" fillId="2" borderId="3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5" fillId="0" borderId="5" xfId="0" applyNumberFormat="1" applyFont="1" applyBorder="1" applyProtection="1">
      <protection locked="0"/>
    </xf>
    <xf numFmtId="0" fontId="1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6" fillId="2" borderId="1" xfId="0" applyNumberFormat="1" applyFont="1" applyFill="1" applyBorder="1" applyAlignment="1" applyProtection="1">
      <alignment horizontal="right"/>
      <protection locked="0"/>
    </xf>
    <xf numFmtId="2" fontId="6" fillId="0" borderId="0" xfId="0" applyNumberFormat="1" applyFont="1" applyProtection="1">
      <protection locked="0"/>
    </xf>
    <xf numFmtId="0" fontId="7" fillId="0" borderId="0" xfId="0" applyFont="1"/>
    <xf numFmtId="4" fontId="6" fillId="2" borderId="1" xfId="0" applyNumberFormat="1" applyFont="1" applyFill="1" applyBorder="1" applyProtection="1">
      <protection locked="0"/>
    </xf>
    <xf numFmtId="7" fontId="8" fillId="2" borderId="0" xfId="0" applyNumberFormat="1" applyFont="1" applyFill="1"/>
    <xf numFmtId="5" fontId="0" fillId="0" borderId="0" xfId="0" applyNumberFormat="1"/>
    <xf numFmtId="12" fontId="6" fillId="2" borderId="1" xfId="0" applyNumberFormat="1" applyFont="1" applyFill="1" applyBorder="1" applyProtection="1">
      <protection locked="0"/>
    </xf>
    <xf numFmtId="5" fontId="6" fillId="2" borderId="1" xfId="0" applyNumberFormat="1" applyFont="1" applyFill="1" applyBorder="1" applyProtection="1">
      <protection locked="0"/>
    </xf>
    <xf numFmtId="0" fontId="1" fillId="0" borderId="6" xfId="0" applyNumberFormat="1" applyFont="1" applyBorder="1"/>
    <xf numFmtId="0" fontId="0" fillId="0" borderId="6" xfId="0" applyNumberFormat="1" applyBorder="1"/>
    <xf numFmtId="0" fontId="0" fillId="0" borderId="0" xfId="0" applyNumberFormat="1" applyAlignment="1">
      <alignment horizontal="center"/>
    </xf>
    <xf numFmtId="7" fontId="1" fillId="0" borderId="0" xfId="0" applyNumberFormat="1" applyFont="1"/>
    <xf numFmtId="7" fontId="0" fillId="0" borderId="0" xfId="0" applyNumberFormat="1"/>
    <xf numFmtId="0" fontId="1" fillId="0" borderId="7" xfId="0" applyNumberFormat="1" applyFont="1" applyBorder="1"/>
    <xf numFmtId="7" fontId="0" fillId="0" borderId="7" xfId="0" applyNumberFormat="1" applyBorder="1"/>
    <xf numFmtId="7" fontId="1" fillId="0" borderId="7" xfId="0" applyNumberFormat="1" applyFont="1" applyBorder="1"/>
    <xf numFmtId="10" fontId="0" fillId="0" borderId="0" xfId="0" applyNumberFormat="1"/>
    <xf numFmtId="2" fontId="0" fillId="0" borderId="0" xfId="0" applyNumberFormat="1"/>
    <xf numFmtId="0" fontId="1" fillId="0" borderId="7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center"/>
    </xf>
    <xf numFmtId="7" fontId="9" fillId="0" borderId="0" xfId="0" applyNumberFormat="1" applyFont="1"/>
    <xf numFmtId="0" fontId="0" fillId="0" borderId="7" xfId="0" applyNumberFormat="1" applyBorder="1"/>
    <xf numFmtId="164" fontId="3" fillId="2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0</xdr:rowOff>
    </xdr:from>
    <xdr:to>
      <xdr:col>1</xdr:col>
      <xdr:colOff>38100</xdr:colOff>
      <xdr:row>71</xdr:row>
      <xdr:rowOff>98298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679680"/>
          <a:ext cx="2788920" cy="11955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workbookViewId="0">
      <selection activeCell="F13" sqref="F13"/>
    </sheetView>
  </sheetViews>
  <sheetFormatPr defaultColWidth="14.6640625" defaultRowHeight="14.4" x14ac:dyDescent="0.3"/>
  <cols>
    <col min="1" max="1" width="40.109375" style="2" customWidth="1"/>
    <col min="2" max="2" width="13" style="2" customWidth="1"/>
    <col min="3" max="4" width="12.44140625" style="2" customWidth="1"/>
    <col min="5" max="7" width="11.33203125" style="2" customWidth="1"/>
    <col min="8" max="8" width="12.21875" style="2" customWidth="1"/>
    <col min="9" max="12" width="11.33203125" style="2" customWidth="1"/>
    <col min="13" max="13" width="14" style="2" customWidth="1"/>
    <col min="14" max="16384" width="14.6640625" style="2"/>
  </cols>
  <sheetData>
    <row r="1" spans="1:15" ht="15.75" x14ac:dyDescent="0.25">
      <c r="A1" s="1" t="s">
        <v>49</v>
      </c>
      <c r="M1" s="3"/>
    </row>
    <row r="2" spans="1:15" ht="15.75" x14ac:dyDescent="0.25">
      <c r="A2" s="1"/>
      <c r="L2" s="4"/>
    </row>
    <row r="3" spans="1:15" ht="15.6" x14ac:dyDescent="0.3">
      <c r="A3" s="1"/>
    </row>
    <row r="4" spans="1:15" ht="15.6" x14ac:dyDescent="0.3">
      <c r="A4" s="1" t="s">
        <v>36</v>
      </c>
      <c r="B4" s="5">
        <v>76</v>
      </c>
      <c r="H4" s="1" t="s">
        <v>40</v>
      </c>
      <c r="L4" s="6">
        <v>125</v>
      </c>
      <c r="M4" s="2" t="s">
        <v>0</v>
      </c>
    </row>
    <row r="5" spans="1:15" ht="15.6" x14ac:dyDescent="0.3">
      <c r="A5" s="1" t="s">
        <v>37</v>
      </c>
      <c r="B5" s="5">
        <v>8</v>
      </c>
      <c r="H5" s="1" t="s">
        <v>1</v>
      </c>
      <c r="L5" s="7">
        <v>15</v>
      </c>
      <c r="M5" s="2" t="s">
        <v>2</v>
      </c>
    </row>
    <row r="6" spans="1:15" ht="15.6" x14ac:dyDescent="0.3">
      <c r="A6" s="1" t="s">
        <v>38</v>
      </c>
      <c r="B6" s="8">
        <v>150</v>
      </c>
      <c r="H6" s="1" t="s">
        <v>3</v>
      </c>
      <c r="L6" s="7">
        <v>15</v>
      </c>
      <c r="M6" s="2" t="s">
        <v>2</v>
      </c>
    </row>
    <row r="7" spans="1:15" ht="15.6" x14ac:dyDescent="0.3">
      <c r="A7" s="1" t="s">
        <v>4</v>
      </c>
      <c r="B7" s="9"/>
      <c r="H7" s="1" t="s">
        <v>5</v>
      </c>
      <c r="L7" s="7">
        <v>7.65</v>
      </c>
      <c r="M7" s="2" t="s">
        <v>2</v>
      </c>
    </row>
    <row r="8" spans="1:15" ht="15.6" x14ac:dyDescent="0.3">
      <c r="A8" s="1" t="s">
        <v>39</v>
      </c>
      <c r="B8" s="10">
        <v>5</v>
      </c>
      <c r="H8" s="1" t="s">
        <v>6</v>
      </c>
      <c r="L8" s="11">
        <v>3</v>
      </c>
      <c r="M8" s="2" t="s">
        <v>2</v>
      </c>
    </row>
    <row r="9" spans="1:15" ht="15.6" x14ac:dyDescent="0.3">
      <c r="A9" s="4" t="s">
        <v>7</v>
      </c>
      <c r="B9" s="12">
        <v>2014</v>
      </c>
      <c r="C9" s="13">
        <f>IF(B$8&gt;=2,(B9+1),"")</f>
        <v>2015</v>
      </c>
      <c r="D9" s="13">
        <f>IF(B$8&gt;=3,C9+1,"")</f>
        <v>2016</v>
      </c>
      <c r="E9" s="13">
        <f>IF($B$8&gt;=4,D9+1,"")</f>
        <v>2017</v>
      </c>
      <c r="F9" s="13">
        <f t="shared" ref="F9:L9" si="0">IF($B$8&gt;=4,E9+1,"")</f>
        <v>2018</v>
      </c>
      <c r="G9" s="13">
        <f t="shared" si="0"/>
        <v>2019</v>
      </c>
      <c r="H9" s="13">
        <f t="shared" si="0"/>
        <v>2020</v>
      </c>
      <c r="I9" s="13">
        <f t="shared" si="0"/>
        <v>2021</v>
      </c>
      <c r="J9" s="13">
        <f t="shared" si="0"/>
        <v>2022</v>
      </c>
      <c r="K9" s="13">
        <f t="shared" si="0"/>
        <v>2023</v>
      </c>
      <c r="L9" s="13">
        <f t="shared" si="0"/>
        <v>2024</v>
      </c>
    </row>
    <row r="10" spans="1:15" ht="15.75" x14ac:dyDescent="0.25">
      <c r="A10" s="14"/>
      <c r="B10" s="13" t="str">
        <f>IF(B8&gt;=1,"Year 1","")</f>
        <v>Year 1</v>
      </c>
      <c r="C10" s="13" t="str">
        <f>IF(B$8&gt;=2,"Year 2","")</f>
        <v>Year 2</v>
      </c>
      <c r="D10" s="13" t="str">
        <f>IF(B$8&gt;=3,"Year 3","")</f>
        <v>Year 3</v>
      </c>
      <c r="E10" s="13" t="str">
        <f>IF(B$8&gt;=4,"Year 4","")</f>
        <v>Year 4</v>
      </c>
      <c r="F10" s="13" t="str">
        <f>IF(B$8&gt;=5,"Year 5","")</f>
        <v>Year 5</v>
      </c>
      <c r="G10" s="13" t="str">
        <f>IF(B$8&gt;=6,"Year 6","")</f>
        <v/>
      </c>
      <c r="H10" s="13" t="str">
        <f>IF(B$8&gt;=7,"Year 7","")</f>
        <v/>
      </c>
      <c r="I10" s="13" t="str">
        <f>IF(B$8&gt;=8,"Year 8","")</f>
        <v/>
      </c>
      <c r="J10" s="13" t="str">
        <f>IF(B$8&gt;=9,"Year 9","")</f>
        <v/>
      </c>
      <c r="K10" s="13" t="str">
        <f>IF(B$8&gt;=10,"Year 10","")</f>
        <v/>
      </c>
      <c r="L10" s="13" t="str">
        <f>IF(B$8&gt;=11,"Year 11","")</f>
        <v/>
      </c>
    </row>
    <row r="11" spans="1:15" ht="15.75" x14ac:dyDescent="0.25">
      <c r="A11" s="1" t="s">
        <v>41</v>
      </c>
      <c r="B11" s="15">
        <v>105</v>
      </c>
      <c r="C11" s="15">
        <v>75</v>
      </c>
      <c r="D11" s="15">
        <v>75</v>
      </c>
      <c r="E11" s="15">
        <v>75</v>
      </c>
      <c r="F11" s="15">
        <v>75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</row>
    <row r="12" spans="1:15" ht="15.75" x14ac:dyDescent="0.25">
      <c r="A12" s="1" t="s">
        <v>42</v>
      </c>
      <c r="B12" s="16">
        <v>165</v>
      </c>
      <c r="C12" s="16">
        <v>170</v>
      </c>
      <c r="D12" s="16">
        <v>171</v>
      </c>
      <c r="E12" s="16">
        <v>165</v>
      </c>
      <c r="F12" s="16">
        <v>163</v>
      </c>
      <c r="G12" s="16">
        <v>164</v>
      </c>
      <c r="H12" s="16">
        <v>162</v>
      </c>
      <c r="I12" s="16">
        <v>162</v>
      </c>
      <c r="J12" s="16">
        <v>162</v>
      </c>
      <c r="K12" s="16">
        <v>162</v>
      </c>
      <c r="L12" s="16">
        <v>162</v>
      </c>
      <c r="M12" s="17"/>
      <c r="N12" s="17"/>
      <c r="O12" s="17"/>
    </row>
    <row r="13" spans="1:15" ht="15.75" x14ac:dyDescent="0.25">
      <c r="A13" s="1" t="s">
        <v>43</v>
      </c>
      <c r="B13" s="18">
        <v>4.5999999999999996</v>
      </c>
      <c r="C13" s="18">
        <v>5</v>
      </c>
      <c r="D13" s="18">
        <v>5</v>
      </c>
      <c r="E13" s="18">
        <v>5.25</v>
      </c>
      <c r="F13" s="18">
        <v>5.5</v>
      </c>
      <c r="G13" s="18">
        <v>5</v>
      </c>
      <c r="H13" s="18">
        <v>5</v>
      </c>
      <c r="I13" s="18">
        <v>5</v>
      </c>
      <c r="J13" s="18">
        <v>5</v>
      </c>
      <c r="K13" s="18">
        <v>5</v>
      </c>
      <c r="L13" s="18">
        <v>5</v>
      </c>
    </row>
    <row r="14" spans="1:15" ht="15.75" x14ac:dyDescent="0.25">
      <c r="A14" s="1" t="s">
        <v>44</v>
      </c>
      <c r="B14" s="19">
        <f>ROUND(10.54+(B12*0.364495),2)</f>
        <v>70.680000000000007</v>
      </c>
      <c r="C14" s="19">
        <f t="shared" ref="C14:L14" si="1">ROUND(10.54+(C12*0.364495),2)</f>
        <v>72.5</v>
      </c>
      <c r="D14" s="19">
        <f t="shared" si="1"/>
        <v>72.87</v>
      </c>
      <c r="E14" s="19">
        <f t="shared" si="1"/>
        <v>70.680000000000007</v>
      </c>
      <c r="F14" s="19">
        <f t="shared" si="1"/>
        <v>69.95</v>
      </c>
      <c r="G14" s="19">
        <f t="shared" si="1"/>
        <v>70.319999999999993</v>
      </c>
      <c r="H14" s="19">
        <f t="shared" si="1"/>
        <v>69.59</v>
      </c>
      <c r="I14" s="19">
        <f t="shared" si="1"/>
        <v>69.59</v>
      </c>
      <c r="J14" s="19">
        <f t="shared" si="1"/>
        <v>69.59</v>
      </c>
      <c r="K14" s="19">
        <f t="shared" si="1"/>
        <v>69.59</v>
      </c>
      <c r="L14" s="19">
        <f t="shared" si="1"/>
        <v>69.59</v>
      </c>
    </row>
    <row r="16" spans="1:15" ht="15.6" x14ac:dyDescent="0.3">
      <c r="A16" s="1" t="s">
        <v>45</v>
      </c>
      <c r="B16" s="20">
        <f>IF(AND($B$8&gt;0,B$11&gt;0),ROUND((($B$4*(B12/100))*B$11*0.01)+($B$5*B13),0),0)</f>
        <v>168</v>
      </c>
      <c r="C16" s="20">
        <f t="shared" ref="C16:L16" si="2">IF(AND($B$8&gt;0,C$11&gt;0),ROUND((($B$4*(C12/100))*C$11*0.01)+($B$5*C13),0),0)</f>
        <v>137</v>
      </c>
      <c r="D16" s="20">
        <f t="shared" si="2"/>
        <v>137</v>
      </c>
      <c r="E16" s="20">
        <f t="shared" si="2"/>
        <v>136</v>
      </c>
      <c r="F16" s="20">
        <f t="shared" si="2"/>
        <v>137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</row>
    <row r="18" spans="1:13" ht="15.75" x14ac:dyDescent="0.25">
      <c r="A18" s="1" t="s">
        <v>46</v>
      </c>
      <c r="B18" s="21">
        <v>85</v>
      </c>
      <c r="C18" s="22">
        <v>130</v>
      </c>
      <c r="D18" s="22">
        <f>C18*1.0105</f>
        <v>131.36499999999998</v>
      </c>
      <c r="E18" s="22">
        <f t="shared" ref="E18:L18" si="3">D18*1.0105</f>
        <v>132.74433249999998</v>
      </c>
      <c r="F18" s="22">
        <f t="shared" si="3"/>
        <v>134.13814799124998</v>
      </c>
      <c r="G18" s="22">
        <v>0</v>
      </c>
      <c r="H18" s="22">
        <f t="shared" si="3"/>
        <v>0</v>
      </c>
      <c r="I18" s="22"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</row>
    <row r="20" spans="1:13" ht="15.75" x14ac:dyDescent="0.25">
      <c r="A20" s="1" t="s">
        <v>8</v>
      </c>
      <c r="B20" s="20">
        <f>IF($B8&gt;=1,+B16-B18,0)</f>
        <v>83</v>
      </c>
      <c r="C20" s="20">
        <f t="shared" ref="C20:L20" si="4">IF($B8&gt;=1,+C16-C18,0)</f>
        <v>7</v>
      </c>
      <c r="D20" s="20">
        <f t="shared" si="4"/>
        <v>5.6350000000000193</v>
      </c>
      <c r="E20" s="20">
        <f t="shared" si="4"/>
        <v>3.2556675000000155</v>
      </c>
      <c r="F20" s="20">
        <f t="shared" si="4"/>
        <v>2.8618520087500201</v>
      </c>
      <c r="G20" s="20">
        <f t="shared" si="4"/>
        <v>0</v>
      </c>
      <c r="H20" s="20">
        <f t="shared" si="4"/>
        <v>0</v>
      </c>
      <c r="I20" s="20">
        <f t="shared" si="4"/>
        <v>0</v>
      </c>
      <c r="J20" s="20">
        <f t="shared" si="4"/>
        <v>0</v>
      </c>
      <c r="K20" s="20">
        <f t="shared" si="4"/>
        <v>0</v>
      </c>
      <c r="L20" s="20">
        <f t="shared" si="4"/>
        <v>0</v>
      </c>
    </row>
    <row r="22" spans="1:13" ht="15.75" x14ac:dyDescent="0.25">
      <c r="A22" s="23" t="s">
        <v>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  <row r="24" spans="1:13" ht="15.75" x14ac:dyDescent="0.25">
      <c r="A24" s="1" t="s">
        <v>10</v>
      </c>
      <c r="B24" s="7">
        <v>50</v>
      </c>
      <c r="C24" s="25" t="s">
        <v>11</v>
      </c>
      <c r="D24" s="26">
        <f>ROUND(B24*B6*0.01,2)</f>
        <v>75</v>
      </c>
      <c r="E24" s="2" t="s">
        <v>12</v>
      </c>
    </row>
    <row r="26" spans="1:13" ht="15.75" x14ac:dyDescent="0.25">
      <c r="A26" s="1" t="s">
        <v>13</v>
      </c>
      <c r="B26" s="5">
        <v>3</v>
      </c>
    </row>
    <row r="28" spans="1:13" ht="15.75" x14ac:dyDescent="0.25">
      <c r="A28" s="1" t="s">
        <v>14</v>
      </c>
      <c r="B28" s="7">
        <v>3.25</v>
      </c>
    </row>
    <row r="29" spans="1:13" ht="15.75" x14ac:dyDescent="0.25">
      <c r="M29" s="13" t="s">
        <v>15</v>
      </c>
    </row>
    <row r="30" spans="1:13" ht="15.75" x14ac:dyDescent="0.25">
      <c r="A30" s="1" t="s">
        <v>16</v>
      </c>
      <c r="B30" s="27">
        <f>IF($B8&lt;1,0,IF($B26&gt;=1,ROUND(IPMT($B28*0.01,1,$B26,-(((1-$B24*0.01)*$B6))),2),0))</f>
        <v>2.44</v>
      </c>
      <c r="C30" s="27">
        <f>IF($B8&lt;2,0,IF($B26&gt;=2,ROUND(IPMT($B28*0.01,2,$B26,-(((1-$B24*0.01)*$B6))),2),0))</f>
        <v>1.65</v>
      </c>
      <c r="D30" s="27">
        <f>IF($B8&lt;3,0,IF($B26&gt;=3,ROUND(IPMT($B28*0.01,3,$B26,-(((1-$B24*0.01)*$B6))),2),0))</f>
        <v>0.84</v>
      </c>
      <c r="E30" s="27">
        <f>IF($B8&lt;4,0,IF($B26&gt;=4,ROUND(IPMT($B28*0.01,4,$B26,-(((1-$B24*0.01)*$B6))),2),0))</f>
        <v>0</v>
      </c>
      <c r="F30" s="27">
        <f>IF($B8&lt;5,0,IF($B26&gt;=5,ROUND(IPMT($B28*0.01,5,$B26,-(((1-$B24*0.01)*$B6))),2),0))</f>
        <v>0</v>
      </c>
      <c r="G30" s="27">
        <f>IF($B8&lt;6,0,IF($B26&gt;=6,ROUND(IPMT($B28*0.01,6,$B26,-(((1-$B24*0.01)*$B6))),2),0))</f>
        <v>0</v>
      </c>
      <c r="H30" s="27">
        <f>IF($B8&lt;7,0,IF($B26&gt;=7,ROUND(IPMT($B28*0.01,7,$B26,-(((1-$B24*0.01)*$B6))),2),0))</f>
        <v>0</v>
      </c>
      <c r="I30" s="27">
        <f>IF($B8&lt;8,0,IF($B26&gt;=8,ROUND(IPMT($B28*0.01,8,$B26,-(((1-$B24*0.01)*$B6))),2),0))</f>
        <v>0</v>
      </c>
      <c r="J30" s="27">
        <f>IF($B8&lt;9,0,IF($B26&gt;=9,ROUND(IPMT($B28*0.01,9,$B26,-(((1-$B24*0.01)*$B6))),2),0))</f>
        <v>0</v>
      </c>
      <c r="K30" s="27">
        <f>IF($B8&lt;10,0,IF($B26&gt;=10,ROUND(IPMT($B28*0.01,10,$B26,-(((1-$B24*0.01)*$B6))),2),0))</f>
        <v>0</v>
      </c>
      <c r="L30" s="27">
        <f>IF($B8&lt;11,0,IF($B26&gt;=11,ROUND(IPMT($B28*0.01,11,$B26,-(((1-$B24*0.01)*$B6))),2),0))</f>
        <v>0</v>
      </c>
      <c r="M30" s="26">
        <f>SUM(B30:L30)</f>
        <v>4.93</v>
      </c>
    </row>
    <row r="31" spans="1:13" ht="16.2" thickBot="1" x14ac:dyDescent="0.35">
      <c r="A31" s="28" t="s">
        <v>17</v>
      </c>
      <c r="B31" s="29">
        <f>IF(B8=1,SUM(B90:L90),IF(B8&gt;1,+B90,0))</f>
        <v>24.2</v>
      </c>
      <c r="C31" s="29">
        <f>IF(B8=2,SUM(C90:L90),IF(B8&gt;2,+C90,0))</f>
        <v>24.99</v>
      </c>
      <c r="D31" s="29">
        <f>IF(B8=3,SUM(D90:L90),IF(B8&gt;3,+D90,0))</f>
        <v>25.8</v>
      </c>
      <c r="E31" s="29">
        <f>IF($B8=4,SUM(E90:$L90),IF($B8&gt;4,+E90,0))</f>
        <v>0</v>
      </c>
      <c r="F31" s="29">
        <f>IF($B8=5,SUM(F90:$L90),IF($B8&gt;5,+F90,0))</f>
        <v>0</v>
      </c>
      <c r="G31" s="29">
        <f>IF($B8=6,SUM(G90:$L90),IF($B8&gt;6,+G90,0))</f>
        <v>0</v>
      </c>
      <c r="H31" s="29">
        <f>IF($B8=7,SUM(H90:$L90),IF($B8&gt;7,+H90,0))</f>
        <v>0</v>
      </c>
      <c r="I31" s="29">
        <f>IF($B8=8,SUM(I90:$L90),IF($B8&gt;8,+I90,0))</f>
        <v>0</v>
      </c>
      <c r="J31" s="29">
        <f>IF($B8=9,SUM(J90:$L90),IF($B8&gt;9,+J90,0))</f>
        <v>0</v>
      </c>
      <c r="K31" s="29">
        <f>IF($B8=10,SUM(K90:$L90),IF($B8&gt;10,+K90,0))</f>
        <v>0</v>
      </c>
      <c r="L31" s="29">
        <f>IF($B8=11,SUM(L90:$L90),IF($B8&gt;11,+L90,0))</f>
        <v>0</v>
      </c>
      <c r="M31" s="30">
        <f>SUM(B31:L31)</f>
        <v>74.989999999999995</v>
      </c>
    </row>
    <row r="32" spans="1:13" ht="16.2" thickTop="1" x14ac:dyDescent="0.3">
      <c r="A32" s="1" t="s">
        <v>18</v>
      </c>
      <c r="B32" s="27">
        <f>IF(B8&gt;=1,+B30+B31,0)</f>
        <v>26.64</v>
      </c>
      <c r="C32" s="27">
        <f>IF(B8&gt;=2,+C30+C31,0)</f>
        <v>26.639999999999997</v>
      </c>
      <c r="D32" s="27">
        <f>IF(B8&gt;=3,+D30+D31,0)</f>
        <v>26.64</v>
      </c>
      <c r="E32" s="27">
        <f>IF($B8&gt;=4,+E30+E31,0)</f>
        <v>0</v>
      </c>
      <c r="F32" s="27">
        <f>IF($B8&gt;=5,+F30+F31,0)</f>
        <v>0</v>
      </c>
      <c r="G32" s="27">
        <f>IF($B8&gt;=6,+G30+G31,0)</f>
        <v>0</v>
      </c>
      <c r="H32" s="27">
        <f>IF($B8&gt;=7,+H30+H31,0)</f>
        <v>0</v>
      </c>
      <c r="I32" s="27">
        <f>IF($B8&gt;=8,+I30+I31,0)</f>
        <v>0</v>
      </c>
      <c r="J32" s="27">
        <f>IF($B8&gt;=9,+J30+J31,0)</f>
        <v>0</v>
      </c>
      <c r="K32" s="27">
        <f>IF($B8&gt;=10,+K30+K31,0)</f>
        <v>0</v>
      </c>
      <c r="L32" s="27">
        <f>IF($B8&gt;=11,+L30+L31,0)</f>
        <v>0</v>
      </c>
    </row>
    <row r="33" spans="1:12" ht="15.6" x14ac:dyDescent="0.3">
      <c r="A33" s="1"/>
    </row>
    <row r="34" spans="1:12" ht="15.6" x14ac:dyDescent="0.3">
      <c r="A34" s="1" t="s">
        <v>19</v>
      </c>
      <c r="B34" s="37">
        <v>16.649999999999999</v>
      </c>
      <c r="C34" s="37">
        <v>33.299999999999997</v>
      </c>
      <c r="D34" s="37">
        <v>33.299999999999997</v>
      </c>
      <c r="E34" s="37">
        <v>16.649999999999999</v>
      </c>
      <c r="F34" s="37"/>
      <c r="G34" s="37"/>
      <c r="H34" s="37"/>
      <c r="I34" s="37"/>
      <c r="J34" s="37"/>
      <c r="K34" s="37"/>
      <c r="L34" s="37"/>
    </row>
    <row r="35" spans="1:12" ht="15.6" x14ac:dyDescent="0.3">
      <c r="A35" s="1" t="s">
        <v>20</v>
      </c>
      <c r="B35" s="27">
        <f>IF(B8&gt;=1,ROUND(+$B$6*B34*0.01,2),0)</f>
        <v>24.98</v>
      </c>
      <c r="C35" s="27">
        <f>IF(B8&gt;=2,ROUND(+$B$6*C34*0.01,2),0)</f>
        <v>49.95</v>
      </c>
      <c r="D35" s="27">
        <f>IF(B8&gt;=3,ROUND(+$B$6*D34*0.01,2),0)</f>
        <v>49.95</v>
      </c>
      <c r="E35" s="27">
        <f>IF(B8&gt;=4,ROUND(+$B$6*E34*0.01,2),0)</f>
        <v>24.98</v>
      </c>
      <c r="F35" s="27">
        <f>IF(B8&gt;=5,ROUND(+$B$6*F34*0.01,2),0)</f>
        <v>0</v>
      </c>
      <c r="G35" s="27">
        <f>IF(B8&gt;=6,ROUND(+$B$6*G34*0.01,2),0)</f>
        <v>0</v>
      </c>
      <c r="H35" s="27">
        <f>IF(B8&gt;=7,ROUND(+$B$6*H34*0.01,2),0)</f>
        <v>0</v>
      </c>
      <c r="I35" s="27">
        <f>IF(B8&gt;=8,ROUND(+$B$6*I34*0.01,2),0)</f>
        <v>0</v>
      </c>
      <c r="J35" s="27">
        <f>IF(B8&gt;=9,ROUND(+$B$6*J34*0.01,2),0)</f>
        <v>0</v>
      </c>
      <c r="K35" s="27">
        <f>IF(B8&gt;=10,ROUND(+$B$6*K34*0.01,2),0)</f>
        <v>0</v>
      </c>
      <c r="L35" s="27">
        <f>IF(B8&gt;=11,ROUND(+$B$6*L34*0.01,2),0)</f>
        <v>0</v>
      </c>
    </row>
    <row r="36" spans="1:12" ht="15.6" x14ac:dyDescent="0.3">
      <c r="A36" s="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2" ht="15.6" x14ac:dyDescent="0.3">
      <c r="A37" s="1" t="s">
        <v>21</v>
      </c>
      <c r="B37" s="27">
        <f t="shared" ref="B37:L37" si="5">ROUND(+B20-B30-B35,2)</f>
        <v>55.58</v>
      </c>
      <c r="C37" s="27">
        <f t="shared" si="5"/>
        <v>-44.6</v>
      </c>
      <c r="D37" s="27">
        <f t="shared" si="5"/>
        <v>-45.16</v>
      </c>
      <c r="E37" s="27">
        <f t="shared" si="5"/>
        <v>-21.72</v>
      </c>
      <c r="F37" s="27">
        <f t="shared" si="5"/>
        <v>2.86</v>
      </c>
      <c r="G37" s="27">
        <f t="shared" si="5"/>
        <v>0</v>
      </c>
      <c r="H37" s="27">
        <f t="shared" si="5"/>
        <v>0</v>
      </c>
      <c r="I37" s="27">
        <f t="shared" si="5"/>
        <v>0</v>
      </c>
      <c r="J37" s="27">
        <f t="shared" si="5"/>
        <v>0</v>
      </c>
      <c r="K37" s="27">
        <f t="shared" si="5"/>
        <v>0</v>
      </c>
      <c r="L37" s="27">
        <f t="shared" si="5"/>
        <v>0</v>
      </c>
    </row>
    <row r="38" spans="1:12" ht="15.6" x14ac:dyDescent="0.3">
      <c r="A38" s="1" t="s">
        <v>22</v>
      </c>
      <c r="B38" s="27">
        <f t="shared" ref="B38:L38" si="6">ROUND(+B37*$L$5*0.01,2)</f>
        <v>8.34</v>
      </c>
      <c r="C38" s="27">
        <f t="shared" si="6"/>
        <v>-6.69</v>
      </c>
      <c r="D38" s="27">
        <f t="shared" si="6"/>
        <v>-6.77</v>
      </c>
      <c r="E38" s="27">
        <f t="shared" si="6"/>
        <v>-3.26</v>
      </c>
      <c r="F38" s="27">
        <f t="shared" si="6"/>
        <v>0.43</v>
      </c>
      <c r="G38" s="27">
        <f t="shared" si="6"/>
        <v>0</v>
      </c>
      <c r="H38" s="27">
        <f t="shared" si="6"/>
        <v>0</v>
      </c>
      <c r="I38" s="27">
        <f t="shared" si="6"/>
        <v>0</v>
      </c>
      <c r="J38" s="27">
        <f t="shared" si="6"/>
        <v>0</v>
      </c>
      <c r="K38" s="27">
        <f t="shared" si="6"/>
        <v>0</v>
      </c>
      <c r="L38" s="27">
        <f t="shared" si="6"/>
        <v>0</v>
      </c>
    </row>
    <row r="39" spans="1:12" ht="15.6" x14ac:dyDescent="0.3">
      <c r="A39" s="1" t="s">
        <v>23</v>
      </c>
      <c r="B39" s="27">
        <f>ROUND(IF(B37&gt;0,B37*$L$7*0.01,0),2)</f>
        <v>4.25</v>
      </c>
      <c r="C39" s="27">
        <f t="shared" ref="C39:L39" si="7">ROUND(IF(C37&gt;0,C37*$L$7*0.01,0),2)</f>
        <v>0</v>
      </c>
      <c r="D39" s="27">
        <f>ROUND(IF(D37&gt;0,D37*$L$7*0.01,0),2)</f>
        <v>0</v>
      </c>
      <c r="E39" s="27">
        <f t="shared" si="7"/>
        <v>0</v>
      </c>
      <c r="F39" s="27">
        <f t="shared" si="7"/>
        <v>0.22</v>
      </c>
      <c r="G39" s="27">
        <f t="shared" si="7"/>
        <v>0</v>
      </c>
      <c r="H39" s="27">
        <f t="shared" si="7"/>
        <v>0</v>
      </c>
      <c r="I39" s="27">
        <f t="shared" si="7"/>
        <v>0</v>
      </c>
      <c r="J39" s="27">
        <f t="shared" si="7"/>
        <v>0</v>
      </c>
      <c r="K39" s="27">
        <f t="shared" si="7"/>
        <v>0</v>
      </c>
      <c r="L39" s="27">
        <f t="shared" si="7"/>
        <v>0</v>
      </c>
    </row>
    <row r="41" spans="1:12" ht="15.6" x14ac:dyDescent="0.3">
      <c r="A41" s="1" t="s">
        <v>24</v>
      </c>
    </row>
    <row r="42" spans="1:12" ht="15.6" x14ac:dyDescent="0.3">
      <c r="A42" s="1" t="s">
        <v>25</v>
      </c>
      <c r="B42" s="27">
        <f>IF(B8&gt;=1,+B20-B38-B39,0)</f>
        <v>70.41</v>
      </c>
      <c r="C42" s="27">
        <f>IF(B8&gt;=2,+C20-C38-C39,0)</f>
        <v>13.690000000000001</v>
      </c>
      <c r="D42" s="27">
        <f>IF(B8&gt;=3,+D20-D38-D39,0)</f>
        <v>12.405000000000019</v>
      </c>
      <c r="E42" s="27">
        <f>IF($B8&gt;=4,+E20-E38-E39,0)</f>
        <v>6.5156675000000153</v>
      </c>
      <c r="F42" s="27">
        <f>IF($B8&gt;=5,+F20-F38-F39,0)</f>
        <v>2.2118520087500197</v>
      </c>
      <c r="G42" s="27">
        <f>IF($B8&gt;=6,+G20-G38-G39,0)</f>
        <v>0</v>
      </c>
      <c r="H42" s="27">
        <f>IF($B8&gt;=7,+H20-H38-H39,0)</f>
        <v>0</v>
      </c>
      <c r="I42" s="27">
        <f>IF($B8&gt;=8,+I20-I38-I39,0)</f>
        <v>0</v>
      </c>
      <c r="J42" s="27">
        <f>IF($B8&gt;=9,+J20-J38-J39,0)</f>
        <v>0</v>
      </c>
      <c r="K42" s="27">
        <f>IF($B8&gt;=10,+K20-K38-K39,0)</f>
        <v>0</v>
      </c>
      <c r="L42" s="27">
        <f>IF($B8&gt;=11,+L20-L38-L39,0)</f>
        <v>0</v>
      </c>
    </row>
    <row r="44" spans="1:12" ht="15.6" x14ac:dyDescent="0.3">
      <c r="A44" s="1" t="s">
        <v>26</v>
      </c>
      <c r="B44" s="27">
        <f t="shared" ref="B44:L44" si="8">B42-B32</f>
        <v>43.769999999999996</v>
      </c>
      <c r="C44" s="27">
        <f t="shared" si="8"/>
        <v>-12.949999999999996</v>
      </c>
      <c r="D44" s="27">
        <f t="shared" si="8"/>
        <v>-14.234999999999982</v>
      </c>
      <c r="E44" s="27">
        <f t="shared" si="8"/>
        <v>6.5156675000000153</v>
      </c>
      <c r="F44" s="27">
        <f t="shared" si="8"/>
        <v>2.2118520087500197</v>
      </c>
      <c r="G44" s="27">
        <f t="shared" si="8"/>
        <v>0</v>
      </c>
      <c r="H44" s="27">
        <f t="shared" si="8"/>
        <v>0</v>
      </c>
      <c r="I44" s="27">
        <f t="shared" si="8"/>
        <v>0</v>
      </c>
      <c r="J44" s="27">
        <f t="shared" si="8"/>
        <v>0</v>
      </c>
      <c r="K44" s="27">
        <f t="shared" si="8"/>
        <v>0</v>
      </c>
      <c r="L44" s="27">
        <f t="shared" si="8"/>
        <v>0</v>
      </c>
    </row>
    <row r="46" spans="1:12" ht="15.6" x14ac:dyDescent="0.3">
      <c r="A46" s="1" t="s">
        <v>47</v>
      </c>
      <c r="B46" s="27">
        <f>IF(B8&gt;=1,+$B$6-B35,0)</f>
        <v>125.02</v>
      </c>
      <c r="C46" s="27">
        <f>IF(B8&gt;=2,+B6-(B35+C35),0)</f>
        <v>75.069999999999993</v>
      </c>
      <c r="D46" s="27">
        <f>IF(B8&gt;=3,+B6-(B35+C35+D35),0)</f>
        <v>25.11999999999999</v>
      </c>
      <c r="E46" s="27">
        <f>IF($B8&gt;=4,+$B6-(B35+C35+D35+E35),0)</f>
        <v>0.13999999999998636</v>
      </c>
      <c r="F46" s="27">
        <f>IF($B8&gt;=5,+$B6-(B35+C35+D35+E35+F35),0)</f>
        <v>0.13999999999998636</v>
      </c>
      <c r="G46" s="27">
        <f>IF($B8&gt;=6,+$B6-(B35+C35+D35+E35+F35+G35),0)</f>
        <v>0</v>
      </c>
      <c r="H46" s="27">
        <f>IF($B8&gt;=7,+$B6-(B35+C35+D35+E35+F35+G35+H35),0)</f>
        <v>0</v>
      </c>
      <c r="I46" s="27">
        <f>IF($B8&gt;=8,+$B6-(B35+C35+D35+E35+F35+G35+H35+I35),0)</f>
        <v>0</v>
      </c>
      <c r="J46" s="27">
        <f>IF($B8&gt;=9,+$B6-(B35+C35+D35+E35+F35+G35+H35+I35+J35),0)</f>
        <v>0</v>
      </c>
      <c r="K46" s="27">
        <f>IF($B8&gt;=10,+$B6-(B35+C35+D35+E35+F35+G35+H35+I35+J35+K35),0)</f>
        <v>0</v>
      </c>
      <c r="L46" s="27">
        <f>IF($B8&gt;=11,+$B6-(B35+C35+D35+E35+F35+G35+H35+I35+J35+K35+L35),0)</f>
        <v>0</v>
      </c>
    </row>
    <row r="47" spans="1:12" ht="15.6" x14ac:dyDescent="0.3">
      <c r="A47" s="1" t="s">
        <v>48</v>
      </c>
      <c r="B47" s="27">
        <f>IF(B8=1,ROUND(+B14*$L$4/100,2),0)</f>
        <v>0</v>
      </c>
      <c r="C47" s="27">
        <f>IF(B8=2,ROUND(+C14*$L$4/100,2),0)</f>
        <v>0</v>
      </c>
      <c r="D47" s="27">
        <f>IF(B8=3,ROUND(+D14*$L$4/100,2),0)</f>
        <v>0</v>
      </c>
      <c r="E47" s="27">
        <f>IF($B8=4,ROUND(+E14*$L$4/100,2),0)</f>
        <v>0</v>
      </c>
      <c r="F47" s="27">
        <f>IF($B8=5,ROUND(+F14*$L$4/100,2),0)</f>
        <v>87.44</v>
      </c>
      <c r="G47" s="27">
        <f>IF($B8=6,ROUND(+G14*$L$4/100,2),0)</f>
        <v>0</v>
      </c>
      <c r="H47" s="27">
        <f>IF($B8=7,ROUND(+H14*$L$4/100,2),0)</f>
        <v>0</v>
      </c>
      <c r="I47" s="27">
        <f>IF($B8=8,ROUND(+I14*$L$4/100,2),0)</f>
        <v>0</v>
      </c>
      <c r="J47" s="27">
        <f>IF($B8=9,ROUND(+J14*$L$4/100,2),0)</f>
        <v>0</v>
      </c>
      <c r="K47" s="27">
        <f>IF($B8=10,ROUND(+K14*$L$4/100,2),0)</f>
        <v>0</v>
      </c>
      <c r="L47" s="27">
        <f>IF($B8=11,ROUND(+L14*$L$4/100,2),0)</f>
        <v>0</v>
      </c>
    </row>
    <row r="49" spans="1:13" ht="15.6" x14ac:dyDescent="0.3">
      <c r="A49" s="1" t="s">
        <v>27</v>
      </c>
      <c r="B49" s="27">
        <f>IF($B$8=1,+B47-((+B47-B46)*$L$6*0.01),0)</f>
        <v>0</v>
      </c>
      <c r="C49" s="27">
        <f>IF($B$8=2,+C47-((+C47-C46)*$L$6*0.01),0)</f>
        <v>0</v>
      </c>
      <c r="D49" s="27">
        <f>IF($B$8=3,+D47-((+D47-D46)*$L$6*0.01),0)</f>
        <v>0</v>
      </c>
      <c r="E49" s="27">
        <f>IF($B$8=4,+E47-((+E47-E46)*$L$6*0.01),0)</f>
        <v>0</v>
      </c>
      <c r="F49" s="27">
        <f>IF($B$8=5,+F47-((+F47-F46)*$L$6*0.01),0)</f>
        <v>74.344999999999999</v>
      </c>
      <c r="G49" s="27">
        <f>IF($B$8=6,+G47-((+G47-G46)*$L$6*0.01),0)</f>
        <v>0</v>
      </c>
      <c r="H49" s="27">
        <f>IF($B$8=7,+H47-((+H47-H46)*$L$6*0.01),0)</f>
        <v>0</v>
      </c>
      <c r="I49" s="27">
        <f>IF($B$8=8,+I47-((+I47-I46)*$L$6*0.01),0)</f>
        <v>0</v>
      </c>
      <c r="J49" s="27">
        <f>IF($B$8=9,+J47-((+J47-J46)*$L$6*0.01),0)</f>
        <v>0</v>
      </c>
      <c r="K49" s="27">
        <f>IF($B$8=10,+K47-((+K47-K46)*$L$6*0.01),0)</f>
        <v>0</v>
      </c>
      <c r="L49" s="27">
        <f>IF($B$8=11,+L47-((+L47-L46)*$L$6*0.01),0)</f>
        <v>0</v>
      </c>
    </row>
    <row r="51" spans="1:13" ht="15.6" x14ac:dyDescent="0.3">
      <c r="A51" s="1" t="s">
        <v>28</v>
      </c>
      <c r="B51" s="32">
        <f>ROUND(+L8*(1-L5*0.01),4)</f>
        <v>2.5499999999999998</v>
      </c>
    </row>
    <row r="53" spans="1:13" ht="15.6" x14ac:dyDescent="0.3">
      <c r="B53" s="20"/>
      <c r="C53" s="1" t="s">
        <v>29</v>
      </c>
    </row>
    <row r="54" spans="1:13" ht="15.6" x14ac:dyDescent="0.3">
      <c r="B54" s="20"/>
      <c r="C54" s="1"/>
      <c r="M54" s="3" t="s">
        <v>30</v>
      </c>
    </row>
    <row r="55" spans="1:13" ht="16.2" thickBot="1" x14ac:dyDescent="0.35">
      <c r="A55" s="33" t="s">
        <v>31</v>
      </c>
      <c r="B55" s="33" t="s">
        <v>32</v>
      </c>
      <c r="C55" s="33" t="str">
        <f>IF(B8&gt;=2,"Year 2","")</f>
        <v>Year 2</v>
      </c>
      <c r="D55" s="33" t="str">
        <f>IF(B8&gt;=3,"Year 3","")</f>
        <v>Year 3</v>
      </c>
      <c r="E55" s="33" t="str">
        <f>IF($B8&gt;=4,"Year 4","")</f>
        <v>Year 4</v>
      </c>
      <c r="F55" s="33" t="str">
        <f>IF($B8&gt;=5,"Year 5","")</f>
        <v>Year 5</v>
      </c>
      <c r="G55" s="33" t="str">
        <f>IF($B8&gt;=6,"Year 6","")</f>
        <v/>
      </c>
      <c r="H55" s="33" t="str">
        <f>IF($B8&gt;=7,"Year 7","")</f>
        <v/>
      </c>
      <c r="I55" s="33" t="str">
        <f>IF($B8&gt;=8,"Year 8","")</f>
        <v/>
      </c>
      <c r="J55" s="33" t="str">
        <f>IF($B8&gt;=9,"Year 9","")</f>
        <v/>
      </c>
      <c r="K55" s="33" t="str">
        <f>IF($B8&gt;=10,"Year 10","")</f>
        <v/>
      </c>
      <c r="L55" s="33" t="str">
        <f>IF($B8&gt;=11,"Year 11","")</f>
        <v/>
      </c>
      <c r="M55" s="34" t="s">
        <v>33</v>
      </c>
    </row>
    <row r="56" spans="1:13" ht="16.2" thickTop="1" x14ac:dyDescent="0.3">
      <c r="A56" s="35">
        <f>IF(B26=0,-B6,-D24)</f>
        <v>-75</v>
      </c>
      <c r="B56" s="35">
        <f t="shared" ref="B56:L56" si="9">B44+B49</f>
        <v>43.769999999999996</v>
      </c>
      <c r="C56" s="35">
        <f t="shared" si="9"/>
        <v>-12.949999999999996</v>
      </c>
      <c r="D56" s="35">
        <f t="shared" si="9"/>
        <v>-14.234999999999982</v>
      </c>
      <c r="E56" s="35">
        <f t="shared" si="9"/>
        <v>6.5156675000000153</v>
      </c>
      <c r="F56" s="35">
        <f t="shared" si="9"/>
        <v>76.556852008750013</v>
      </c>
      <c r="G56" s="35">
        <f t="shared" si="9"/>
        <v>0</v>
      </c>
      <c r="H56" s="35">
        <f t="shared" si="9"/>
        <v>0</v>
      </c>
      <c r="I56" s="35">
        <f t="shared" si="9"/>
        <v>0</v>
      </c>
      <c r="J56" s="35">
        <f t="shared" si="9"/>
        <v>0</v>
      </c>
      <c r="K56" s="35">
        <f t="shared" si="9"/>
        <v>0</v>
      </c>
      <c r="L56" s="35">
        <f t="shared" si="9"/>
        <v>0</v>
      </c>
      <c r="M56" s="35">
        <f>SUM(A93:L93)</f>
        <v>15.56002740709944</v>
      </c>
    </row>
    <row r="58" spans="1:13" ht="16.2" thickBot="1" x14ac:dyDescent="0.35">
      <c r="A58" s="28" t="s">
        <v>34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</row>
    <row r="59" spans="1:13" ht="16.2" thickTop="1" x14ac:dyDescent="0.3">
      <c r="A59" s="1" t="str">
        <f>IF(M56&lt;0,"The negative net present value indicates that the price of $"&amp;FIXED(B6,0,TRUE)&amp;" per head is too high.","The positive net present value indicates this is an economically feasible investment.")</f>
        <v>The positive net present value indicates this is an economically feasible investment.</v>
      </c>
    </row>
    <row r="60" spans="1:13" ht="15.6" x14ac:dyDescent="0.3">
      <c r="A60" s="1" t="str">
        <f>"The maximum that could be paid for this investment is $"&amp;FIXED((B6+M56),1,TRUE)&amp;"."</f>
        <v>The maximum that could be paid for this investment is $165.6.</v>
      </c>
    </row>
    <row r="61" spans="1:13" ht="15.6" x14ac:dyDescent="0.3">
      <c r="A61" s="1" t="str">
        <f>"This investment has an internal rate of return of "&amp;FIXED(A85,1,TRUE)&amp;"%."</f>
        <v>This investment has an internal rate of return of 8.0%.</v>
      </c>
    </row>
    <row r="62" spans="1:13" ht="15.6" x14ac:dyDescent="0.3">
      <c r="A62" s="1" t="str">
        <f>IF(A83="No","This investment does not pay back over this planning horizon",B83)</f>
        <v>This investment has a payback period of five years.</v>
      </c>
    </row>
    <row r="63" spans="1:13" ht="15.6" x14ac:dyDescent="0.3">
      <c r="A63" s="1" t="str">
        <f>IF(A87&lt;&gt;"feasible",B87,"The positive cash flows across the planning horizon indicate that this investment is financially feasible.")</f>
        <v>This investment may not be financially feasible due to negative cash flow in year two.</v>
      </c>
    </row>
    <row r="82" spans="1:12" x14ac:dyDescent="0.3">
      <c r="A82" s="24" t="s">
        <v>35</v>
      </c>
    </row>
    <row r="83" spans="1:12" x14ac:dyDescent="0.3">
      <c r="A83" s="2" t="str">
        <f>IF(SUM(A56:B56)&gt;0,"one",IF(SUM(A56:C56)&gt;0,"two",IF(SUM(A56:D56)&gt;0,"three",IF(SUM(A56:E56)&gt;0,"four",IF(SUM(A56:I56)&gt;0,"five",IF(SUM(A56:J56)&gt;0,"six",IF(SUM(A56:L56)&gt;0,"seven",IF(SUM(A56:B56)&gt;0,"eight",IF(SUM(A56:B56)&gt;0,"nine",IF(SUM(A56:B56)&gt;0,"ten",IF(SUM(A56:B56)&gt;0,"eleven","No")))))))))))</f>
        <v>five</v>
      </c>
      <c r="B83" s="2" t="str">
        <f>"This investment has a payback period of "&amp;A83&amp;" years."</f>
        <v>This investment has a payback period of five years.</v>
      </c>
    </row>
    <row r="84" spans="1:12" x14ac:dyDescent="0.3">
      <c r="A84" s="2">
        <f>SUM(B56:L56)/B6</f>
        <v>0.6643834633916671</v>
      </c>
    </row>
    <row r="85" spans="1:12" x14ac:dyDescent="0.3">
      <c r="A85" s="2">
        <f>ROUND(IRR(A56:L56,+A84),3)*100</f>
        <v>8</v>
      </c>
    </row>
    <row r="87" spans="1:12" x14ac:dyDescent="0.3">
      <c r="A87" s="2" t="str">
        <f>IF(B44&lt;0,"one",IF(C44&lt;0,"two",IF(D44&lt;0,"three",IF(E44&lt;0,"four",IF(F44&lt;0,"five",IF(G44&lt;0,"six",IF(H44&lt;0,"seven",IF(I44&lt;0,"eight",IF(J44&lt;0,"nine",IF(K44&lt;0,"ten",IF(L44&lt;0,"eleven","feasible")))))))))))</f>
        <v>two</v>
      </c>
      <c r="B87" s="2" t="str">
        <f>"This investment may not be financially feasible due to negative cash flow in year "&amp;A87&amp;"."</f>
        <v>This investment may not be financially feasible due to negative cash flow in year two.</v>
      </c>
    </row>
    <row r="90" spans="1:12" ht="15" thickBot="1" x14ac:dyDescent="0.35">
      <c r="B90" s="29">
        <f>IF(B26&gt;=1,ROUND(PPMT(B28*0.01,1,B26,-(((1-B24*0.01)*B6))),2),0)</f>
        <v>24.2</v>
      </c>
      <c r="C90" s="29">
        <f>IF(B26&gt;=2,ROUND(PPMT(B28*0.01,2,B26,-(((1-B24*0.01)*B6))),2),0)</f>
        <v>24.99</v>
      </c>
      <c r="D90" s="29">
        <f>IF(B26&gt;=3,ROUND(PPMT(B28*0.01,3,B26,-(((1-B24*0.01)*B6))),2),0)</f>
        <v>25.8</v>
      </c>
      <c r="E90" s="29">
        <f>IF($B26&gt;=4,ROUND(PPMT($B28*0.01,4,$B26,-(((1-$B24*0.01)*$B6))),2),0)</f>
        <v>0</v>
      </c>
      <c r="F90" s="29">
        <f>IF($B26&gt;=5,ROUND(PPMT($B28*0.01,5,$B26,-(((1-$B24*0.01)*$B6))),2),0)</f>
        <v>0</v>
      </c>
      <c r="G90" s="29">
        <f>IF($B26&gt;=6,ROUND(PPMT($B28*0.01,6,$B26,-(((1-$B24*0.01)*$B6))),2),0)</f>
        <v>0</v>
      </c>
      <c r="H90" s="29">
        <f>IF($B26&gt;=7,ROUND(PPMT($B28*0.01,7,$B26,-(((1-$B24*0.01)*$B6))),2),0)</f>
        <v>0</v>
      </c>
      <c r="I90" s="29">
        <f>IF($B26&gt;=8,ROUND(PPMT($B28*0.01,8,$B26,-(((1-$B24*0.01)*$B6))),2),0)</f>
        <v>0</v>
      </c>
      <c r="J90" s="29">
        <f>IF($B26&gt;=9,ROUND(PPMT($B28*0.01,9,$B26,-(((1-$B24*0.01)*$B6))),2),0)</f>
        <v>0</v>
      </c>
      <c r="K90" s="29">
        <f>IF($B26&gt;=10,ROUND(PPMT($B28*0.01,10,$B26,-(((1-$B24*0.01)*$B6))),2),0)</f>
        <v>0</v>
      </c>
      <c r="L90" s="29">
        <f>IF($B26&gt;=11,ROUND(PPMT($B28*0.01,11,$B26,-(((1-$B24*0.01)*$B6))),2),0)</f>
        <v>0</v>
      </c>
    </row>
    <row r="93" spans="1:12" x14ac:dyDescent="0.3">
      <c r="A93" s="27">
        <f>+A56</f>
        <v>-75</v>
      </c>
      <c r="B93" s="2">
        <f>(B56/(1+($B$51/100)))</f>
        <v>42.681618722574349</v>
      </c>
      <c r="C93" s="2">
        <f>(C56/(1+($B$51/100))^2)</f>
        <v>-12.313979861650765</v>
      </c>
      <c r="D93" s="2">
        <f>(D56/(1+($B$51/100))^3)</f>
        <v>-13.199287160465914</v>
      </c>
      <c r="E93" s="2">
        <f>(E56/(1+($B$51/100))^4)</f>
        <v>5.8913694040201312</v>
      </c>
      <c r="F93" s="2">
        <f>(F56/(1+($B$51/100))^5)</f>
        <v>67.500306302621638</v>
      </c>
      <c r="G93" s="2">
        <f>(G56/(1+($B$51/100))^6)</f>
        <v>0</v>
      </c>
      <c r="H93" s="2">
        <f>(H56/(1+($B$51/100))^7)</f>
        <v>0</v>
      </c>
      <c r="I93" s="2">
        <f>(I56/(1+($B$51/100))^8)</f>
        <v>0</v>
      </c>
      <c r="J93" s="2">
        <f>(J56/(1+($B$51/100))^9)</f>
        <v>0</v>
      </c>
      <c r="K93" s="2">
        <f>(K56/(1+($B$51/100))^10)</f>
        <v>0</v>
      </c>
      <c r="L93" s="2">
        <f>(L56/(1+($B$51/100))^11)</f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Bill.Thompson</dc:creator>
  <cp:lastModifiedBy>Bill.Thompson</cp:lastModifiedBy>
  <dcterms:created xsi:type="dcterms:W3CDTF">2012-11-28T18:46:07Z</dcterms:created>
  <dcterms:modified xsi:type="dcterms:W3CDTF">2014-03-13T21:38:25Z</dcterms:modified>
</cp:coreProperties>
</file>